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lana\Desktop\СОВЕТ_ хх.06.2024\Принятые решения\"/>
    </mc:Choice>
  </mc:AlternateContent>
  <bookViews>
    <workbookView xWindow="0" yWindow="0" windowWidth="28800" windowHeight="12330" activeTab="3"/>
  </bookViews>
  <sheets>
    <sheet name="ПР 1 к Проекту Реш МС" sheetId="1" r:id="rId1"/>
    <sheet name="ПР 2 к Проекту Реш МС" sheetId="2" r:id="rId2"/>
    <sheet name="ПР 3 к Проекту Реш МС" sheetId="4" r:id="rId3"/>
    <sheet name="ПР 4 к Проекту Реш МС" sheetId="3" r:id="rId4"/>
  </sheets>
  <calcPr calcId="162913"/>
</workbook>
</file>

<file path=xl/calcChain.xml><?xml version="1.0" encoding="utf-8"?>
<calcChain xmlns="http://schemas.openxmlformats.org/spreadsheetml/2006/main">
  <c r="D8" i="3" l="1"/>
  <c r="E7" i="3"/>
  <c r="D7" i="3"/>
  <c r="D17" i="3"/>
  <c r="E6" i="3"/>
  <c r="E17" i="3" s="1"/>
  <c r="D16" i="3"/>
  <c r="D15" i="3"/>
  <c r="D14" i="3"/>
  <c r="D13" i="3"/>
  <c r="D12" i="3"/>
  <c r="D11" i="3"/>
  <c r="D10" i="3"/>
  <c r="D9" i="3"/>
  <c r="D6" i="3"/>
  <c r="D31" i="4" l="1"/>
  <c r="C31" i="4"/>
  <c r="D6" i="4"/>
  <c r="C6" i="4"/>
  <c r="D11" i="4"/>
  <c r="C11" i="4"/>
  <c r="C30" i="4"/>
  <c r="F30" i="4" s="1"/>
  <c r="C29" i="4"/>
  <c r="F29" i="4" s="1"/>
  <c r="D28" i="4"/>
  <c r="F28" i="4" s="1"/>
  <c r="D27" i="4"/>
  <c r="F27" i="4" s="1"/>
  <c r="D26" i="4"/>
  <c r="C26" i="4"/>
  <c r="D25" i="4"/>
  <c r="F25" i="4" s="1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C10" i="4"/>
  <c r="F10" i="4" s="1"/>
  <c r="D9" i="4"/>
  <c r="C9" i="4"/>
  <c r="D8" i="4"/>
  <c r="C8" i="4"/>
  <c r="D7" i="4"/>
  <c r="C7" i="4"/>
  <c r="D96" i="2"/>
  <c r="D95" i="2"/>
  <c r="F95" i="2" s="1"/>
  <c r="D94" i="2"/>
  <c r="E94" i="2" s="1"/>
  <c r="D93" i="2"/>
  <c r="D92" i="2"/>
  <c r="D91" i="2"/>
  <c r="D90" i="2"/>
  <c r="D89" i="2"/>
  <c r="D88" i="2"/>
  <c r="D87" i="2"/>
  <c r="D86" i="2"/>
  <c r="D85" i="2"/>
  <c r="D84" i="2"/>
  <c r="F84" i="2" s="1"/>
  <c r="D83" i="2"/>
  <c r="D82" i="2"/>
  <c r="F82" i="2" s="1"/>
  <c r="D81" i="2"/>
  <c r="F81" i="2" s="1"/>
  <c r="D80" i="2"/>
  <c r="D79" i="2"/>
  <c r="E79" i="2" s="1"/>
  <c r="D78" i="2"/>
  <c r="D77" i="2"/>
  <c r="D76" i="2"/>
  <c r="D75" i="2"/>
  <c r="D64" i="2"/>
  <c r="D62" i="2"/>
  <c r="D61" i="2"/>
  <c r="D60" i="2"/>
  <c r="D59" i="2"/>
  <c r="D58" i="2"/>
  <c r="D57" i="2"/>
  <c r="D56" i="2"/>
  <c r="D55" i="2"/>
  <c r="F55" i="2" s="1"/>
  <c r="D54" i="2"/>
  <c r="D53" i="2"/>
  <c r="E53" i="2" s="1"/>
  <c r="D52" i="2"/>
  <c r="D51" i="2"/>
  <c r="D50" i="2"/>
  <c r="E50" i="2" s="1"/>
  <c r="D49" i="2"/>
  <c r="E49" i="2" s="1"/>
  <c r="D48" i="2"/>
  <c r="D47" i="2"/>
  <c r="F47" i="2" s="1"/>
  <c r="D46" i="2"/>
  <c r="D45" i="2"/>
  <c r="D44" i="2"/>
  <c r="D43" i="2"/>
  <c r="D42" i="2"/>
  <c r="D41" i="2"/>
  <c r="D40" i="2"/>
  <c r="D39" i="2"/>
  <c r="D34" i="2"/>
  <c r="D33" i="2"/>
  <c r="E33" i="2" s="1"/>
  <c r="D32" i="2"/>
  <c r="D31" i="2"/>
  <c r="D30" i="2"/>
  <c r="D29" i="2"/>
  <c r="D28" i="2"/>
  <c r="D27" i="2"/>
  <c r="D26" i="2"/>
  <c r="E26" i="2" s="1"/>
  <c r="D25" i="2"/>
  <c r="D7" i="2"/>
  <c r="D8" i="2"/>
  <c r="D21" i="2"/>
  <c r="D23" i="2"/>
  <c r="E23" i="2" s="1"/>
  <c r="D22" i="2"/>
  <c r="E21" i="2"/>
  <c r="D20" i="2"/>
  <c r="D19" i="2"/>
  <c r="D18" i="2"/>
  <c r="D17" i="2"/>
  <c r="D16" i="2"/>
  <c r="D15" i="2"/>
  <c r="D14" i="2"/>
  <c r="D13" i="2"/>
  <c r="D12" i="2"/>
  <c r="D11" i="2"/>
  <c r="D10" i="2"/>
  <c r="E10" i="2" s="1"/>
  <c r="D9" i="2"/>
  <c r="C38" i="2"/>
  <c r="C24" i="2"/>
  <c r="C7" i="2"/>
  <c r="C8" i="2"/>
  <c r="C100" i="2"/>
  <c r="C99" i="2"/>
  <c r="E99" i="2" s="1"/>
  <c r="C98" i="2"/>
  <c r="C97" i="2"/>
  <c r="E97" i="2" s="1"/>
  <c r="C92" i="2"/>
  <c r="C91" i="2"/>
  <c r="C90" i="2"/>
  <c r="E90" i="2" s="1"/>
  <c r="C89" i="2"/>
  <c r="E89" i="2" s="1"/>
  <c r="C88" i="2"/>
  <c r="C82" i="2"/>
  <c r="C81" i="2"/>
  <c r="C80" i="2"/>
  <c r="C79" i="2"/>
  <c r="C78" i="2"/>
  <c r="C77" i="2"/>
  <c r="C76" i="2"/>
  <c r="C75" i="2"/>
  <c r="C74" i="2"/>
  <c r="F74" i="2" s="1"/>
  <c r="C73" i="2"/>
  <c r="F73" i="2" s="1"/>
  <c r="C72" i="2"/>
  <c r="E72" i="2" s="1"/>
  <c r="C71" i="2"/>
  <c r="C70" i="2"/>
  <c r="E70" i="2" s="1"/>
  <c r="C69" i="2"/>
  <c r="C68" i="2"/>
  <c r="C67" i="2"/>
  <c r="F67" i="2" s="1"/>
  <c r="C66" i="2"/>
  <c r="E66" i="2" s="1"/>
  <c r="C65" i="2"/>
  <c r="E65" i="2" s="1"/>
  <c r="C64" i="2"/>
  <c r="F64" i="2" s="1"/>
  <c r="C63" i="2"/>
  <c r="F63" i="2" s="1"/>
  <c r="C62" i="2"/>
  <c r="E62" i="2" s="1"/>
  <c r="C61" i="2"/>
  <c r="C60" i="2"/>
  <c r="E60" i="2" s="1"/>
  <c r="C59" i="2"/>
  <c r="E59" i="2" s="1"/>
  <c r="C58" i="2"/>
  <c r="C57" i="2"/>
  <c r="E57" i="2" s="1"/>
  <c r="C56" i="2"/>
  <c r="C55" i="2"/>
  <c r="E55" i="2" s="1"/>
  <c r="C54" i="2"/>
  <c r="E54" i="2" s="1"/>
  <c r="C53" i="2"/>
  <c r="F53" i="2" s="1"/>
  <c r="C52" i="2"/>
  <c r="E52" i="2" s="1"/>
  <c r="C51" i="2"/>
  <c r="E51" i="2" s="1"/>
  <c r="C50" i="2"/>
  <c r="F50" i="2" s="1"/>
  <c r="C49" i="2"/>
  <c r="F49" i="2" s="1"/>
  <c r="C48" i="2"/>
  <c r="E48" i="2" s="1"/>
  <c r="C47" i="2"/>
  <c r="C46" i="2"/>
  <c r="C45" i="2"/>
  <c r="E45" i="2" s="1"/>
  <c r="C44" i="2"/>
  <c r="E44" i="2" s="1"/>
  <c r="C43" i="2"/>
  <c r="E43" i="2" s="1"/>
  <c r="C42" i="2"/>
  <c r="E42" i="2" s="1"/>
  <c r="C41" i="2"/>
  <c r="C40" i="2"/>
  <c r="C39" i="2"/>
  <c r="F38" i="2"/>
  <c r="C37" i="2"/>
  <c r="E37" i="2" s="1"/>
  <c r="C36" i="2"/>
  <c r="C35" i="2"/>
  <c r="C34" i="2"/>
  <c r="C33" i="2"/>
  <c r="C32" i="2"/>
  <c r="C31" i="2"/>
  <c r="C30" i="2"/>
  <c r="C29" i="2"/>
  <c r="C28" i="2"/>
  <c r="C27" i="2"/>
  <c r="C26" i="2"/>
  <c r="C25" i="2"/>
  <c r="E25" i="2" s="1"/>
  <c r="C23" i="2"/>
  <c r="F23" i="2" s="1"/>
  <c r="C22" i="2"/>
  <c r="C20" i="2"/>
  <c r="C19" i="2"/>
  <c r="C18" i="2"/>
  <c r="C17" i="2"/>
  <c r="E17" i="2" s="1"/>
  <c r="C16" i="2"/>
  <c r="E16" i="2" s="1"/>
  <c r="C15" i="2"/>
  <c r="F15" i="2" s="1"/>
  <c r="C14" i="2"/>
  <c r="E14" i="2" s="1"/>
  <c r="C13" i="2"/>
  <c r="E13" i="2" s="1"/>
  <c r="C12" i="2"/>
  <c r="F12" i="2" s="1"/>
  <c r="C11" i="2"/>
  <c r="E11" i="2" s="1"/>
  <c r="C10" i="2"/>
  <c r="C9" i="2"/>
  <c r="E9" i="2" s="1"/>
  <c r="E32" i="2"/>
  <c r="E35" i="2"/>
  <c r="E36" i="2"/>
  <c r="E41" i="2"/>
  <c r="E46" i="2"/>
  <c r="E47" i="2"/>
  <c r="E56" i="2"/>
  <c r="E58" i="2"/>
  <c r="E61" i="2"/>
  <c r="E63" i="2"/>
  <c r="E64" i="2"/>
  <c r="E67" i="2"/>
  <c r="E68" i="2"/>
  <c r="E69" i="2"/>
  <c r="E71" i="2"/>
  <c r="E73" i="2"/>
  <c r="E74" i="2"/>
  <c r="E76" i="2"/>
  <c r="E78" i="2"/>
  <c r="E81" i="2"/>
  <c r="E83" i="2"/>
  <c r="E84" i="2"/>
  <c r="E85" i="2"/>
  <c r="E86" i="2"/>
  <c r="E87" i="2"/>
  <c r="E88" i="2"/>
  <c r="E91" i="2"/>
  <c r="E93" i="2"/>
  <c r="E95" i="2"/>
  <c r="E96" i="2"/>
  <c r="E98" i="2"/>
  <c r="E100" i="2"/>
  <c r="E12" i="2"/>
  <c r="E15" i="2"/>
  <c r="E18" i="2"/>
  <c r="E19" i="2"/>
  <c r="E22" i="2"/>
  <c r="F26" i="2"/>
  <c r="F27" i="2"/>
  <c r="F34" i="2"/>
  <c r="F35" i="2"/>
  <c r="F36" i="2"/>
  <c r="F37" i="2"/>
  <c r="F42" i="2"/>
  <c r="F43" i="2"/>
  <c r="F44" i="2"/>
  <c r="F46" i="2"/>
  <c r="F51" i="2"/>
  <c r="F52" i="2"/>
  <c r="F54" i="2"/>
  <c r="F56" i="2"/>
  <c r="F57" i="2"/>
  <c r="F58" i="2"/>
  <c r="F59" i="2"/>
  <c r="F61" i="2"/>
  <c r="F62" i="2"/>
  <c r="F65" i="2"/>
  <c r="F66" i="2"/>
  <c r="F68" i="2"/>
  <c r="F69" i="2"/>
  <c r="F70" i="2"/>
  <c r="F71" i="2"/>
  <c r="F75" i="2"/>
  <c r="F80" i="2"/>
  <c r="F83" i="2"/>
  <c r="F85" i="2"/>
  <c r="F86" i="2"/>
  <c r="F87" i="2"/>
  <c r="F88" i="2"/>
  <c r="F89" i="2"/>
  <c r="F90" i="2"/>
  <c r="F91" i="2"/>
  <c r="F92" i="2"/>
  <c r="F93" i="2"/>
  <c r="F94" i="2"/>
  <c r="F96" i="2"/>
  <c r="F97" i="2"/>
  <c r="F98" i="2"/>
  <c r="F99" i="2"/>
  <c r="F100" i="2"/>
  <c r="F13" i="2"/>
  <c r="F14" i="2"/>
  <c r="F17" i="2"/>
  <c r="F18" i="2"/>
  <c r="F19" i="2"/>
  <c r="F20" i="2"/>
  <c r="F22" i="2"/>
  <c r="D38" i="2"/>
  <c r="E38" i="2" s="1"/>
  <c r="F22" i="4" l="1"/>
  <c r="F23" i="4"/>
  <c r="F13" i="4"/>
  <c r="F15" i="4"/>
  <c r="F17" i="4"/>
  <c r="F12" i="4"/>
  <c r="F14" i="4"/>
  <c r="F16" i="4"/>
  <c r="F19" i="4"/>
  <c r="F7" i="4"/>
  <c r="E9" i="4"/>
  <c r="E20" i="4"/>
  <c r="E21" i="4"/>
  <c r="F8" i="4"/>
  <c r="E22" i="4"/>
  <c r="E25" i="4"/>
  <c r="F9" i="4"/>
  <c r="F21" i="4"/>
  <c r="E24" i="4"/>
  <c r="F18" i="4"/>
  <c r="F20" i="4"/>
  <c r="E23" i="4"/>
  <c r="F24" i="4"/>
  <c r="F26" i="4"/>
  <c r="E28" i="4"/>
  <c r="E30" i="4"/>
  <c r="E10" i="4"/>
  <c r="E27" i="4"/>
  <c r="E29" i="4"/>
  <c r="E12" i="4"/>
  <c r="E13" i="4"/>
  <c r="E14" i="4"/>
  <c r="E15" i="4"/>
  <c r="E16" i="4"/>
  <c r="E17" i="4"/>
  <c r="E18" i="4"/>
  <c r="E19" i="4"/>
  <c r="E26" i="4"/>
  <c r="E7" i="4"/>
  <c r="E8" i="4"/>
  <c r="E92" i="2"/>
  <c r="E82" i="2"/>
  <c r="E80" i="2"/>
  <c r="F79" i="2"/>
  <c r="F78" i="2"/>
  <c r="E77" i="2"/>
  <c r="F76" i="2"/>
  <c r="E75" i="2"/>
  <c r="D24" i="2"/>
  <c r="E24" i="2" s="1"/>
  <c r="F41" i="2"/>
  <c r="F40" i="2"/>
  <c r="E39" i="2"/>
  <c r="E34" i="2"/>
  <c r="F33" i="2"/>
  <c r="F32" i="2"/>
  <c r="E31" i="2"/>
  <c r="E30" i="2"/>
  <c r="F29" i="2"/>
  <c r="F28" i="2"/>
  <c r="E27" i="2"/>
  <c r="D101" i="2"/>
  <c r="E20" i="2"/>
  <c r="F10" i="2"/>
  <c r="E8" i="2"/>
  <c r="F77" i="2"/>
  <c r="F72" i="2"/>
  <c r="F60" i="2"/>
  <c r="F48" i="2"/>
  <c r="F45" i="2"/>
  <c r="E40" i="2"/>
  <c r="F39" i="2"/>
  <c r="F31" i="2"/>
  <c r="F30" i="2"/>
  <c r="E29" i="2"/>
  <c r="E28" i="2"/>
  <c r="F25" i="2"/>
  <c r="F21" i="2"/>
  <c r="F16" i="2"/>
  <c r="F11" i="2"/>
  <c r="F9" i="2"/>
  <c r="F8" i="2"/>
  <c r="F6" i="4" l="1"/>
  <c r="E6" i="4"/>
  <c r="F11" i="4"/>
  <c r="E11" i="4"/>
  <c r="F7" i="2"/>
  <c r="E7" i="2"/>
  <c r="F24" i="2"/>
  <c r="C101" i="2"/>
  <c r="F101" i="2" s="1"/>
  <c r="F38" i="1"/>
  <c r="F37" i="1"/>
  <c r="H37" i="1" s="1"/>
  <c r="F36" i="1"/>
  <c r="G36" i="1" s="1"/>
  <c r="F35" i="1"/>
  <c r="G35" i="1" s="1"/>
  <c r="F34" i="1"/>
  <c r="H34" i="1" s="1"/>
  <c r="F33" i="1"/>
  <c r="F32" i="1"/>
  <c r="H32" i="1" s="1"/>
  <c r="F31" i="1"/>
  <c r="H31" i="1" s="1"/>
  <c r="F30" i="1"/>
  <c r="F29" i="1"/>
  <c r="F28" i="1"/>
  <c r="F27" i="1"/>
  <c r="H27" i="1" s="1"/>
  <c r="F26" i="1"/>
  <c r="H26" i="1" s="1"/>
  <c r="F25" i="1"/>
  <c r="F24" i="1"/>
  <c r="F23" i="1"/>
  <c r="G23" i="1" s="1"/>
  <c r="F22" i="1"/>
  <c r="G22" i="1" s="1"/>
  <c r="F21" i="1"/>
  <c r="G21" i="1" s="1"/>
  <c r="F20" i="1"/>
  <c r="F19" i="1"/>
  <c r="G19" i="1" s="1"/>
  <c r="F18" i="1"/>
  <c r="G18" i="1" s="1"/>
  <c r="H7" i="1"/>
  <c r="H8" i="1"/>
  <c r="H9" i="1"/>
  <c r="H10" i="1"/>
  <c r="H25" i="1"/>
  <c r="H28" i="1"/>
  <c r="H29" i="1"/>
  <c r="H30" i="1"/>
  <c r="H33" i="1"/>
  <c r="H36" i="1"/>
  <c r="H38" i="1"/>
  <c r="H6" i="1"/>
  <c r="F17" i="1"/>
  <c r="G17" i="1" s="1"/>
  <c r="F16" i="1"/>
  <c r="F15" i="1"/>
  <c r="F14" i="1"/>
  <c r="G14" i="1" s="1"/>
  <c r="F13" i="1"/>
  <c r="G13" i="1" s="1"/>
  <c r="F12" i="1"/>
  <c r="F11" i="1"/>
  <c r="G11" i="1" s="1"/>
  <c r="F10" i="1"/>
  <c r="F9" i="1"/>
  <c r="F8" i="1"/>
  <c r="F7" i="1"/>
  <c r="F6" i="1"/>
  <c r="D38" i="1"/>
  <c r="D37" i="1"/>
  <c r="D36" i="1"/>
  <c r="D35" i="1"/>
  <c r="D34" i="1"/>
  <c r="D33" i="1"/>
  <c r="D32" i="1"/>
  <c r="G32" i="1" s="1"/>
  <c r="D31" i="1"/>
  <c r="D30" i="1"/>
  <c r="D29" i="1"/>
  <c r="G29" i="1" s="1"/>
  <c r="D28" i="1"/>
  <c r="D27" i="1"/>
  <c r="D26" i="1"/>
  <c r="G26" i="1" s="1"/>
  <c r="D25" i="1"/>
  <c r="G25" i="1" s="1"/>
  <c r="D10" i="1"/>
  <c r="G10" i="1" s="1"/>
  <c r="D9" i="1"/>
  <c r="G9" i="1" s="1"/>
  <c r="D8" i="1"/>
  <c r="D7" i="1"/>
  <c r="D6" i="1"/>
  <c r="G12" i="1"/>
  <c r="G15" i="1"/>
  <c r="G16" i="1"/>
  <c r="G20" i="1"/>
  <c r="G24" i="1"/>
  <c r="G28" i="1"/>
  <c r="G33" i="1"/>
  <c r="G38" i="1"/>
  <c r="E101" i="2" l="1"/>
  <c r="G37" i="1"/>
  <c r="H35" i="1"/>
  <c r="G34" i="1"/>
  <c r="G31" i="1"/>
  <c r="G30" i="1"/>
  <c r="G27" i="1"/>
  <c r="G7" i="1"/>
  <c r="G8" i="1"/>
  <c r="G6" i="1"/>
  <c r="E31" i="4" l="1"/>
  <c r="F31" i="4"/>
</calcChain>
</file>

<file path=xl/sharedStrings.xml><?xml version="1.0" encoding="utf-8"?>
<sst xmlns="http://schemas.openxmlformats.org/spreadsheetml/2006/main" count="366" uniqueCount="292">
  <si>
    <r>
      <rPr>
        <b/>
        <sz val="8"/>
        <rFont val="Times New Roman"/>
        <family val="1"/>
      </rPr>
      <t>000 1 00 00000 00 0000 000</t>
    </r>
  </si>
  <si>
    <r>
      <rPr>
        <b/>
        <sz val="8"/>
        <rFont val="Times New Roman"/>
        <family val="1"/>
      </rPr>
      <t>НАЛОГИ НА ПРИБЫЛЬ, ДОХОДЫ</t>
    </r>
  </si>
  <si>
    <r>
      <rPr>
        <b/>
        <sz val="8"/>
        <rFont val="Times New Roman"/>
        <family val="1"/>
      </rPr>
      <t>000 1 01 00000 00 0000 000</t>
    </r>
  </si>
  <si>
    <r>
      <rPr>
        <b/>
        <sz val="8"/>
        <rFont val="Times New Roman"/>
        <family val="1"/>
      </rPr>
      <t>Налог на доходы физических лиц</t>
    </r>
  </si>
  <si>
    <r>
      <rPr>
        <b/>
        <sz val="8"/>
        <rFont val="Times New Roman"/>
        <family val="1"/>
      </rPr>
      <t>000 1 01 02000 01 0000 110</t>
    </r>
  </si>
  <si>
    <r>
      <rPr>
        <sz val="8"/>
        <rFont val="Times New Roman"/>
        <family val="1"/>
      </rPr>
      <t>182 1 01 02010 01 0000 110</t>
    </r>
  </si>
  <si>
    <r>
      <rPr>
        <b/>
        <sz val="8"/>
        <rFont val="Times New Roman"/>
        <family val="1"/>
      </rPr>
      <t>ДОХОДЫ ОТ ОКАЗАНИЯ ПЛАТНЫХ У СЛУГ И КОМПЕНСАЦИИ ЗАТРАТ ГОС УДАРСТВА</t>
    </r>
  </si>
  <si>
    <r>
      <rPr>
        <b/>
        <sz val="8"/>
        <rFont val="Times New Roman"/>
        <family val="1"/>
      </rPr>
      <t>000 1 13 00000 00 0000 000</t>
    </r>
  </si>
  <si>
    <r>
      <rPr>
        <b/>
        <sz val="8"/>
        <rFont val="Times New Roman"/>
        <family val="1"/>
      </rPr>
      <t>Доходы от компенсации затрат государст ва</t>
    </r>
  </si>
  <si>
    <r>
      <rPr>
        <b/>
        <sz val="8"/>
        <rFont val="Times New Roman"/>
        <family val="1"/>
      </rPr>
      <t>000 1 13 02000 00 0000 130</t>
    </r>
  </si>
  <si>
    <r>
      <rPr>
        <b/>
        <sz val="8"/>
        <rFont val="Times New Roman"/>
        <family val="1"/>
      </rPr>
      <t>Прочие доходы от компенсации затрат го сударства</t>
    </r>
  </si>
  <si>
    <r>
      <rPr>
        <b/>
        <sz val="8"/>
        <rFont val="Times New Roman"/>
        <family val="1"/>
      </rPr>
      <t>000 1 13 02990 00 0000 130</t>
    </r>
  </si>
  <si>
    <r>
      <rPr>
        <sz val="8"/>
        <rFont val="Times New Roman"/>
        <family val="1"/>
      </rPr>
      <t>Прочие доходы от компенсации затрат бюд жетов внутригородских муниципальных об разований городов федерального значения</t>
    </r>
  </si>
  <si>
    <r>
      <rPr>
        <sz val="8"/>
        <rFont val="Times New Roman"/>
        <family val="1"/>
      </rPr>
      <t>000 1 13 02993 03 0000 130</t>
    </r>
  </si>
  <si>
    <r>
      <rPr>
        <sz val="8"/>
        <rFont val="Times New Roman"/>
        <family val="1"/>
      </rPr>
      <t>Средства, составляющие восстановительну ю стоимость зеленых насаждений общего п ользования местного значения и подлежащ ие зачислению в бюджеты внутригородских муниципальных образований Санкт- Петербурга в соответствии с законодательс твом Санкт-Петербурга</t>
    </r>
  </si>
  <si>
    <r>
      <rPr>
        <sz val="8"/>
        <rFont val="Times New Roman"/>
        <family val="1"/>
      </rPr>
      <t>867 1 13 02993 03 0100 130</t>
    </r>
  </si>
  <si>
    <r>
      <rPr>
        <b/>
        <sz val="8"/>
        <rFont val="Times New Roman"/>
        <family val="1"/>
      </rPr>
      <t>ШТРАФЫ, САНКЦИИ, ВОЗМЕЩЕНИЕ УЩЕРБА</t>
    </r>
  </si>
  <si>
    <r>
      <rPr>
        <b/>
        <sz val="8"/>
        <rFont val="Times New Roman"/>
        <family val="1"/>
      </rPr>
      <t>000 1 16 00000 00 0000 000</t>
    </r>
  </si>
  <si>
    <r>
      <rPr>
        <b/>
        <sz val="8"/>
        <rFont val="Times New Roman"/>
        <family val="1"/>
      </rPr>
      <t>000 1 16 07000 00 0000 140</t>
    </r>
  </si>
  <si>
    <r>
      <rPr>
        <b/>
        <sz val="8"/>
        <rFont val="Times New Roman"/>
        <family val="1"/>
      </rPr>
      <t>Штрафы, неустойки, пени, уплаченные в случае просрочки исполнения поставщи ком (подрядчиком, исполнителем) обязат ельств, предусмотренных государственн ым (муниципальным) контрактом</t>
    </r>
  </si>
  <si>
    <r>
      <rPr>
        <b/>
        <sz val="8"/>
        <rFont val="Times New Roman"/>
        <family val="1"/>
      </rPr>
      <t>000 1 16 07010 00 0000 140</t>
    </r>
  </si>
  <si>
    <r>
      <rPr>
        <sz val="8"/>
        <rFont val="Times New Roman"/>
        <family val="1"/>
      </rPr>
      <t>Штрафы, неустойки, пени, уплаченные в сл учае просрочки исполнения поставщиком ( подрядчиком, исполнителем) обязательств, предусмотренных муниципальным контрак том, заключенным муниципальным органо м, казенным учреждением внутригородског о муниципального образования города феде рального значения (муниципальным)</t>
    </r>
  </si>
  <si>
    <r>
      <rPr>
        <sz val="8"/>
        <rFont val="Times New Roman"/>
        <family val="1"/>
      </rPr>
      <t>973 1 16 07010 03 0000 140</t>
    </r>
  </si>
  <si>
    <r>
      <rPr>
        <b/>
        <sz val="8"/>
        <rFont val="Times New Roman"/>
        <family val="1"/>
      </rPr>
      <t>ПРОЧИЕ НЕНАЛОГОВЫЕ ДОХОДЫ</t>
    </r>
  </si>
  <si>
    <r>
      <rPr>
        <b/>
        <sz val="8"/>
        <rFont val="Times New Roman"/>
        <family val="1"/>
      </rPr>
      <t>000 1 17 00000 00 0000 000</t>
    </r>
  </si>
  <si>
    <r>
      <rPr>
        <b/>
        <sz val="8"/>
        <rFont val="Times New Roman"/>
        <family val="1"/>
      </rPr>
      <t>Невыясненные поступления</t>
    </r>
  </si>
  <si>
    <r>
      <rPr>
        <b/>
        <sz val="8"/>
        <rFont val="Times New Roman"/>
        <family val="1"/>
      </rPr>
      <t>000 1 17 01000 00 0000 180</t>
    </r>
  </si>
  <si>
    <r>
      <rPr>
        <sz val="8"/>
        <rFont val="Times New Roman"/>
        <family val="1"/>
      </rPr>
      <t>Невыясненные поступления, зачисляемые в бюджеты внутригородских муниципальных образований городов федерального значени я</t>
    </r>
  </si>
  <si>
    <r>
      <rPr>
        <sz val="8"/>
        <rFont val="Times New Roman"/>
        <family val="1"/>
      </rPr>
      <t>973 1 17 01030 03 0000 180</t>
    </r>
  </si>
  <si>
    <r>
      <rPr>
        <b/>
        <sz val="8"/>
        <rFont val="Times New Roman"/>
        <family val="1"/>
      </rPr>
      <t>Прочие неналоговые доходы в части нев ыясненных поступлений, по которым не осуществлен возврат (уточнение) не позд нее трех лет со дня их зачисления на еди ный счет соответствующего бюджета бюд жетной системы Российской Федерации</t>
    </r>
  </si>
  <si>
    <r>
      <rPr>
        <b/>
        <sz val="8"/>
        <rFont val="Times New Roman"/>
        <family val="1"/>
      </rPr>
      <t>000 1 17 16000 00 0000 180</t>
    </r>
  </si>
  <si>
    <r>
      <rPr>
        <sz val="8"/>
        <rFont val="Times New Roman"/>
        <family val="1"/>
      </rPr>
      <t>973 1 17 16000 03 0000 180</t>
    </r>
  </si>
  <si>
    <r>
      <rPr>
        <b/>
        <sz val="8"/>
        <rFont val="Times New Roman"/>
        <family val="1"/>
      </rPr>
      <t>БЕЗВОЗМЕЗДНЫЕ ПОСТУПЛЕНИЯ</t>
    </r>
  </si>
  <si>
    <r>
      <rPr>
        <b/>
        <sz val="8"/>
        <rFont val="Times New Roman"/>
        <family val="1"/>
      </rPr>
      <t>000 2 00 00000 00 0000 000</t>
    </r>
  </si>
  <si>
    <r>
      <rPr>
        <b/>
        <sz val="8"/>
        <rFont val="Times New Roman"/>
        <family val="1"/>
      </rPr>
      <t>000 2 02 00000 00 0000 000</t>
    </r>
  </si>
  <si>
    <r>
      <rPr>
        <b/>
        <sz val="8"/>
        <rFont val="Times New Roman"/>
        <family val="1"/>
      </rPr>
      <t>Дотации бюджетам бюджетной системы Российской Федерации</t>
    </r>
  </si>
  <si>
    <r>
      <rPr>
        <b/>
        <sz val="8"/>
        <rFont val="Times New Roman"/>
        <family val="1"/>
      </rPr>
      <t>000 2 02 10000 00 0000 150</t>
    </r>
  </si>
  <si>
    <r>
      <rPr>
        <b/>
        <sz val="8"/>
        <rFont val="Times New Roman"/>
        <family val="1"/>
      </rPr>
      <t>Дотации на выравнивание бюджетной об еспеченности</t>
    </r>
  </si>
  <si>
    <r>
      <rPr>
        <b/>
        <sz val="8"/>
        <rFont val="Times New Roman"/>
        <family val="1"/>
      </rPr>
      <t>000 2 02 15001 00 0000 150</t>
    </r>
  </si>
  <si>
    <r>
      <rPr>
        <sz val="8"/>
        <rFont val="Times New Roman"/>
        <family val="1"/>
      </rPr>
      <t>Дотации бюджетам внутригородских муни ципальных образований городов федеральн ого значения на выравнивание бюджетной обеспеченности из бюджета субъекта Росси йской Федерации</t>
    </r>
  </si>
  <si>
    <r>
      <rPr>
        <sz val="8"/>
        <rFont val="Times New Roman"/>
        <family val="1"/>
      </rPr>
      <t>973 2 02 15001 03 0000 150</t>
    </r>
  </si>
  <si>
    <r>
      <rPr>
        <b/>
        <sz val="8"/>
        <rFont val="Times New Roman"/>
        <family val="1"/>
      </rPr>
      <t>Субвенции бюджетам бюджетной систем ы Российской Федерации</t>
    </r>
  </si>
  <si>
    <r>
      <rPr>
        <b/>
        <sz val="8"/>
        <rFont val="Times New Roman"/>
        <family val="1"/>
      </rPr>
      <t>000 2 02 30000 00 0000 150</t>
    </r>
  </si>
  <si>
    <r>
      <rPr>
        <b/>
        <sz val="8"/>
        <rFont val="Times New Roman"/>
        <family val="1"/>
      </rPr>
      <t>Субвенции местным бюджетам на выпол нение передаваемых полномочий субъек тов Российской Федерации</t>
    </r>
  </si>
  <si>
    <r>
      <rPr>
        <b/>
        <sz val="8"/>
        <rFont val="Times New Roman"/>
        <family val="1"/>
      </rPr>
      <t>000 2 02 30024 00 0000 150</t>
    </r>
  </si>
  <si>
    <r>
      <rPr>
        <sz val="8"/>
        <rFont val="Times New Roman"/>
        <family val="1"/>
      </rPr>
      <t>Субвенции бюджетам внутригородских му ниципальных образований городов федерал ьного значения на выполнение передаваем ых полномочий субъектов Российской Феде рации</t>
    </r>
  </si>
  <si>
    <r>
      <rPr>
        <sz val="8"/>
        <rFont val="Times New Roman"/>
        <family val="1"/>
      </rPr>
      <t>000 2 02 30024 03 0000 150</t>
    </r>
  </si>
  <si>
    <r>
      <rPr>
        <sz val="8"/>
        <rFont val="Times New Roman"/>
        <family val="1"/>
      </rPr>
      <t>973 2 02 30024 03 0100 150</t>
    </r>
  </si>
  <si>
    <r>
      <rPr>
        <sz val="8"/>
        <rFont val="Times New Roman"/>
        <family val="1"/>
      </rPr>
      <t>973 2 02 30024 03 0200 150</t>
    </r>
  </si>
  <si>
    <r>
      <rPr>
        <b/>
        <sz val="8"/>
        <rFont val="Times New Roman"/>
        <family val="1"/>
      </rPr>
      <t>000 2 02 30027 00 0000 150</t>
    </r>
  </si>
  <si>
    <r>
      <rPr>
        <sz val="8"/>
        <rFont val="Times New Roman"/>
        <family val="1"/>
      </rPr>
      <t>Субвенции бюджетам внутригородских му ниципальных образований городов федерал ьного значения на содержание ребенка, нах одящегося под опекой, попечительством, а также вознаграждение, причитающееся опе куну (попечителю), приемному родителю</t>
    </r>
  </si>
  <si>
    <r>
      <rPr>
        <sz val="8"/>
        <rFont val="Times New Roman"/>
        <family val="1"/>
      </rPr>
      <t>000 2 02 30027 03 0000 150</t>
    </r>
  </si>
  <si>
    <r>
      <rPr>
        <sz val="8"/>
        <rFont val="Times New Roman"/>
        <family val="1"/>
      </rPr>
      <t>973 2 02 30027 03 0100 150</t>
    </r>
  </si>
  <si>
    <r>
      <rPr>
        <sz val="8"/>
        <rFont val="Times New Roman"/>
        <family val="1"/>
      </rPr>
      <t>Субвенции бюджетам внутригородских му ниципальных образований Санкт- Петербурга на вознаграждение, причитающ ееся приемному родителю</t>
    </r>
  </si>
  <si>
    <r>
      <rPr>
        <sz val="8"/>
        <rFont val="Times New Roman"/>
        <family val="1"/>
      </rPr>
      <t>973 2 02 30027 03 0200 150</t>
    </r>
  </si>
  <si>
    <t>Налог на доходы физических лиц с доходов, источником которых является налоговый а гент, за исключением доходов, в отношении которых исчисление и уплата налога осуще ствляются в соответствии со статьями 227, 227.1 и 228 Налогового кодекса Российской Федерации, а также доходов от долевого уч астия в организации, полученных в виде ди видендов</t>
  </si>
  <si>
    <t>% исполнения бюджета</t>
  </si>
  <si>
    <t>Источники доходов</t>
  </si>
  <si>
    <t>Код бюджетной классификации</t>
  </si>
  <si>
    <t>Сумма, тыс. руб.</t>
  </si>
  <si>
    <t>Исполнено 2023 год, тыс. руб.</t>
  </si>
  <si>
    <t>Неисполненные назначения, тыс. руб.</t>
  </si>
  <si>
    <t>ДОХОДЫ</t>
  </si>
  <si>
    <t>Субвенции бюджетам внутригородских му ниципальных образований Санкт- Петербурга на выполнение отдельных госу дарственных полномочий Санкт- Петербурга по организации и осуществлен ию деятельности по опеке и попечительству</t>
  </si>
  <si>
    <t>Субвенции бюджетам внутригородских муниципальных образований Санкт- Петербурга на выполнение отдельного госу дарственного полномочия Санкт- Петербурга по определению должностных лиц, уполномоченных составлять протокол ы об административных правонарушениях, и составлению протоколов об администрат ивных правонарушениях</t>
  </si>
  <si>
    <t>НАЛОГОВЫЕ И НЕНАЛОГОВЫЕ ДОХОДЫ</t>
  </si>
  <si>
    <t>Субвенции бюджетам на содержание ребе нка, находящегося под опекой, попечите льством, а также вознаграждение, причи тающееся опекуну (попечителю), приемному родителю</t>
  </si>
  <si>
    <t>Субвенции бюджетам внутригородских муниципальных образований Санкт- Петербурга на содержание ребенка в семье опекуна и приемной семье</t>
  </si>
  <si>
    <t>Код источника доходов</t>
  </si>
  <si>
    <t>Штрафы, неустойки, пени, уплаченные в соответствии с законом или договором в случае неисполнения или ненадлежащег о исполнения обязательств перед государ ственным (муниципальным) органом, ор ганом управления государственным внеб юджетным фондом, казенным учреждением, Центральным банком Российской Федерации, иной организацией, действующ ей от имени Российской Федерации</t>
  </si>
  <si>
    <t>БЕЗВОЗМЕЗДНЫЕ ПОСТУПЛЕНИЯ ОТ ДРУГИХ БЮДЖЕТОВ БЮДЖЕТНОЙ СИСТЕМЫ РОССИЙСКОЙ ФЕДЕРАЦ ИИ</t>
  </si>
  <si>
    <t>Прочие неналоговые доходы бюджетов вну тригородских муниципальных образований городов федерального значения в части нев ыясненных поступлений, по которым не ос уществлен возврат (уточнение) не позднее трех лет со дня их зачисления на единый счет бюджета внутригородского муниципальн ого образования города федерального значения</t>
  </si>
  <si>
    <t>Наименование статей</t>
  </si>
  <si>
    <t>Муниципальный Совет внутригородского муниципального образования муниципальный округ Купчино</t>
  </si>
  <si>
    <t>Местная администрация внутригородского муниципального образования Санкт-Петербурга муниципальный округ Купчино</t>
  </si>
  <si>
    <t>x</t>
  </si>
  <si>
    <t>Общегосударственные вопросы</t>
  </si>
  <si>
    <t>Функционирование высшего должностно го лица субъекта Российской Федерации  и муниципального образования</t>
  </si>
  <si>
    <t>Содержание главы муниципального обра зования</t>
  </si>
  <si>
    <t>Расходы на выплаты персоналу в целях о беспечения выполнения функций государ ственными (муниципальными) органами, казенными учреждениями, органами упр авления государственными внебюджетны ми фондами</t>
  </si>
  <si>
    <t>Функционирование законодательных (пр едставительных) органов государственно й власти и представительных органов му ниципальных образований</t>
  </si>
  <si>
    <t>Депутаты, осуществляющие свою деятел ьность на постоянной основе</t>
  </si>
  <si>
    <t>Компенсация депутатам, осуществляющ им свои полномочия на непостоянной осн ове</t>
  </si>
  <si>
    <t>Аппарат представительного органа муни ципального образования</t>
  </si>
  <si>
    <t>Закупка товаров, работ и услуг для обесп ечения государственных (муниципальны х) нужд</t>
  </si>
  <si>
    <t>Иные бюджетные ассигнования</t>
  </si>
  <si>
    <t>Функционирование Правительства Росс ийской Федерации, высших исполнитель ных органов государственной власти субъ ектов Российской Федерации, местных ад министраций</t>
  </si>
  <si>
    <t>Расходные обязательства по содержанию и обеспечению деятельности главы местн ой администрации</t>
  </si>
  <si>
    <t>Аппарат исполнительного органа муниц ипального образования</t>
  </si>
  <si>
    <t>Субвенции бюджетам муниципальных об разований на исполнение государственног о полномочия по организации и осуществ лению деятельности по опеке и попечител ьству</t>
  </si>
  <si>
    <t>Резервные фонды</t>
  </si>
  <si>
    <t>Резервный фонд местной администрации муниципального образования</t>
  </si>
  <si>
    <t>Другие общегосударственные вопросы</t>
  </si>
  <si>
    <t>Формирование архивных фондов муници пального образования</t>
  </si>
  <si>
    <t>Субвенции бюджетам муниципальных об разований на исполнение государственног о полномочия по составлению протоколов об административных правонарушениях</t>
  </si>
  <si>
    <t>Расходы на уплату членских взносов на о существление деятельности Совета муни ципальных образований Санкт- петербурга и содержание его органов</t>
  </si>
  <si>
    <t>Национальная безопасность и правоохра нительная деятельность</t>
  </si>
  <si>
    <t>Защита населения и территории от чрезв ычайных ситуаций природного и техноге нного характера, пожарная безопасность</t>
  </si>
  <si>
    <t>Проведение подготовки и обучение нераб отающего населения способам защиты в чрезвычайных ситуациях</t>
  </si>
  <si>
    <t>Национальная экономика</t>
  </si>
  <si>
    <t>Общеэкономические вопросы</t>
  </si>
  <si>
    <t>Участие в организации и финансировани и: проведения оплачиваемых общественн ых работ; временного трудоустройства не совершеннолетних от 14 до 18 лет, безрабо тных граждан; ярмарок вакансий и учебн ых рабочих мест</t>
  </si>
  <si>
    <t>Жилищно-коммунальное хозяйство</t>
  </si>
  <si>
    <t>Благоустройство</t>
  </si>
  <si>
    <t>Благоустройство дворовых территорий</t>
  </si>
  <si>
    <t>Проведение санитарных рубок в т.ч. удал ение аварийных, больных деревьев и куст арников, реконструкции зеленых насажде ний внутриквартального озеленения</t>
  </si>
  <si>
    <t>Уборка территорий внутриквартального озеленения</t>
  </si>
  <si>
    <t>Образование</t>
  </si>
  <si>
    <t>Профессиональная подготовка, переподг отовка и повышение квалификации</t>
  </si>
  <si>
    <t>Другие вопросы в области образования</t>
  </si>
  <si>
    <t>Проведение мероприятий по военно- патриотическому воспитанию граждан на территории муниципального образования</t>
  </si>
  <si>
    <t>Участие в реализации мер по профилакт ике дорожно-транспортного травматизма на территории муниципального образова ния</t>
  </si>
  <si>
    <t>Участие в установленном порядке в меро приятиях по профилактике незаконного потребления наркотических средств и пс ихотропных веществ, наркомании в Санк т-Петербурге</t>
  </si>
  <si>
    <t>Участие в деятельности по профилактик е терроризма и экстремизма, а также в ми нимизации и или ликвидации последстви й проявления терроризма и экстремизма на территории муниципального образова ния</t>
  </si>
  <si>
    <t>Культура, кинематография</t>
  </si>
  <si>
    <t>Культура</t>
  </si>
  <si>
    <t>Организация и проведение местных и уч астие в организации и проведении городс ких праздничных и иных зрелищных мер оприятий</t>
  </si>
  <si>
    <t>Организация и проведение досуговых ме роприятий для жителей муниципального образования</t>
  </si>
  <si>
    <t>Социальная политика</t>
  </si>
  <si>
    <t>Пенсионное обеспечение</t>
  </si>
  <si>
    <t>Выплата ежемесячной доплаты к пенсия м лицам, замещавшим муниципальные д олжности, должности муниципальной слу жбы в органах местного самоуправления муниципальных образований</t>
  </si>
  <si>
    <t>Социальное обеспечение и иные выплат ы населению</t>
  </si>
  <si>
    <t>Социальное обеспечение населения</t>
  </si>
  <si>
    <t>Выплаты ежемесячной доплаты к пенсия м лицам, замещающим муниципальные д олжности</t>
  </si>
  <si>
    <t>Охрана семьи и детства</t>
  </si>
  <si>
    <t>Субвенции бюджетам муниципальных об разований на исполнение государственног о полномочия по выплате денежных средс тв на содержание ребенка в семье опекун а и приемной семье.</t>
  </si>
  <si>
    <t>Расходы на исполнение государственного полномочия по выплате денежных средст в на вознаграждение приемным родителя м за счет субвенций из бюджжета Санкт- Петербурга</t>
  </si>
  <si>
    <t>Физическая культура и спорт</t>
  </si>
  <si>
    <t>Физическая культура</t>
  </si>
  <si>
    <t>Обеспечение условий для развития на те рритории муниципального образования ф изической культуры и массового спорта, организация и проведение официальных физкультурных мероприятий, физкульту рно-оздоровительных мероприятий и спо ртивных мероприятий</t>
  </si>
  <si>
    <t>Средства массовой информации</t>
  </si>
  <si>
    <t>Периодическая печать и издательства</t>
  </si>
  <si>
    <t>Закупка товаров, работ и услуг для обеспечения государственных (муниципальны х) нужд</t>
  </si>
  <si>
    <t>Учреждение печатного средства массово й информации для опубликования муниц ипальных правовых актов, обсуждения п роектов муниципальных правовых актов, обсуждения проектов муниципальных пр авовых актов по вопросам местного значе ния, доведения до сведений жителей</t>
  </si>
  <si>
    <t xml:space="preserve">887  01 00 </t>
  </si>
  <si>
    <t>887  01 02</t>
  </si>
  <si>
    <t xml:space="preserve">887  01 02 0020000011 </t>
  </si>
  <si>
    <t>887  01 02 0020000011 100</t>
  </si>
  <si>
    <t xml:space="preserve">887  01 03 </t>
  </si>
  <si>
    <t xml:space="preserve">887  01 03 0020000021 </t>
  </si>
  <si>
    <t xml:space="preserve">Код расхода по бюджетной классификации </t>
  </si>
  <si>
    <t>Код ГРБС/Код раздела и подраздела/Код целевой статьи/Код вида расходов</t>
  </si>
  <si>
    <t xml:space="preserve">887  01 03 0020000021 100 </t>
  </si>
  <si>
    <t xml:space="preserve">887  01 03 0020000022 </t>
  </si>
  <si>
    <t xml:space="preserve">887  01 03 0020000022 100 </t>
  </si>
  <si>
    <t xml:space="preserve">887  01 03 0020000023 </t>
  </si>
  <si>
    <t>Расходы на выплаты персоналу в целях о беспечения выполнения функций государ ственными (муниципальными) органами, казенными учреждениями, органами управления государственными внебюджетны ми фондами</t>
  </si>
  <si>
    <t xml:space="preserve">887  01 03 0020000023 100 </t>
  </si>
  <si>
    <t>887  01 03 0020000023 200</t>
  </si>
  <si>
    <t xml:space="preserve">887  01 03 0020000023 800 </t>
  </si>
  <si>
    <t xml:space="preserve">887  01 13 0920400441 800 </t>
  </si>
  <si>
    <t>887  01 13</t>
  </si>
  <si>
    <t>887  01 13 0920400441</t>
  </si>
  <si>
    <t xml:space="preserve">973  01 04 </t>
  </si>
  <si>
    <t xml:space="preserve">973  01 04 0020000031 </t>
  </si>
  <si>
    <t xml:space="preserve">973  01 04 0020000031 100 </t>
  </si>
  <si>
    <t>973  01 04 0020000032</t>
  </si>
  <si>
    <t xml:space="preserve">973  01 04 0020000032 100 </t>
  </si>
  <si>
    <t xml:space="preserve">973  01 04 0020000032 200 </t>
  </si>
  <si>
    <t xml:space="preserve">973  01 04 0020000032 800 </t>
  </si>
  <si>
    <t xml:space="preserve">973  01 04 00200G0850 </t>
  </si>
  <si>
    <t xml:space="preserve">973  01 04 00200G0850 100 </t>
  </si>
  <si>
    <t xml:space="preserve">973  01 04 00200G0850 200 </t>
  </si>
  <si>
    <t xml:space="preserve">973  01 11 </t>
  </si>
  <si>
    <t xml:space="preserve">973  01 11 0700000061 </t>
  </si>
  <si>
    <t>973  01 11 0700000061 800</t>
  </si>
  <si>
    <t>973  01 13</t>
  </si>
  <si>
    <t>973  01 13 0900000070</t>
  </si>
  <si>
    <t>973  01 13 0900000070 200</t>
  </si>
  <si>
    <t>973  01 13 09200G0100</t>
  </si>
  <si>
    <t>973  01 13 09200G0100 200</t>
  </si>
  <si>
    <t>973  03 00</t>
  </si>
  <si>
    <t>973  03 10</t>
  </si>
  <si>
    <t>973  03 10 2190000091</t>
  </si>
  <si>
    <t>973  03 10 2190000091 200</t>
  </si>
  <si>
    <t>973  04 00</t>
  </si>
  <si>
    <t>973  04 01</t>
  </si>
  <si>
    <t>973  04 01 5100000120</t>
  </si>
  <si>
    <t>973  04 01 5100000120 200</t>
  </si>
  <si>
    <t xml:space="preserve">973  05 00 </t>
  </si>
  <si>
    <t>973  05 03</t>
  </si>
  <si>
    <t>973  05 03 6000000131</t>
  </si>
  <si>
    <t>973  05 03 6000000131 200</t>
  </si>
  <si>
    <t>973  05 03 6000000131 800</t>
  </si>
  <si>
    <t>973  05 03 6000000151</t>
  </si>
  <si>
    <t>973  05 03 6000000151 200</t>
  </si>
  <si>
    <t>973  05 03 6000400005</t>
  </si>
  <si>
    <t>973  05 03 6000400005 200</t>
  </si>
  <si>
    <t>973  07 00</t>
  </si>
  <si>
    <t>973  07 05</t>
  </si>
  <si>
    <t>973  07 05 9900000180</t>
  </si>
  <si>
    <t>973  07 05 9900000180 200</t>
  </si>
  <si>
    <t>973  07 09</t>
  </si>
  <si>
    <t>973  07 09 4310000191</t>
  </si>
  <si>
    <t>973  07 09 4310000191 200</t>
  </si>
  <si>
    <t>973  07 09 7950100491</t>
  </si>
  <si>
    <t>973  07 09 7950100491 200</t>
  </si>
  <si>
    <t>973  07 09 7950200511</t>
  </si>
  <si>
    <t>Участие в деятельности по профилактик е правонарушений в Санкт-Петербурге в формах и порядке, установленных законодательством Санкт-Петребурга</t>
  </si>
  <si>
    <t>973  07 09 7950200511 200</t>
  </si>
  <si>
    <t>973  07 09 7950400531</t>
  </si>
  <si>
    <t>973  07 09 7950400531 200</t>
  </si>
  <si>
    <t>973  07 09 7950500521</t>
  </si>
  <si>
    <t>973  07 09 7950500521 200</t>
  </si>
  <si>
    <t xml:space="preserve">973  08 00 </t>
  </si>
  <si>
    <t>973  08 01</t>
  </si>
  <si>
    <t>973  08 01 4500200201</t>
  </si>
  <si>
    <t>973  08 01 4500200201 200</t>
  </si>
  <si>
    <t>973  08 01 4500400192</t>
  </si>
  <si>
    <t>973  08 01 4500400192 200</t>
  </si>
  <si>
    <t>973  10 00</t>
  </si>
  <si>
    <t>973  10 01</t>
  </si>
  <si>
    <t>973  10 01 5050200231</t>
  </si>
  <si>
    <t>973  10 01 5050200231 300</t>
  </si>
  <si>
    <t>973  10 03</t>
  </si>
  <si>
    <t>973  10 03 5050200232</t>
  </si>
  <si>
    <t>973  10 03 5050200232 300</t>
  </si>
  <si>
    <t>973  10 04</t>
  </si>
  <si>
    <t>973  10 04 51100G0860</t>
  </si>
  <si>
    <t>973  10 04 51100G0860 300</t>
  </si>
  <si>
    <t>973  10 04 51100G0870</t>
  </si>
  <si>
    <t>973  10 04 51100G0870 300</t>
  </si>
  <si>
    <t>973  11 00</t>
  </si>
  <si>
    <t>973  11 01</t>
  </si>
  <si>
    <t>973  11 01 5120200241</t>
  </si>
  <si>
    <t>973  11 01 5120200241 200</t>
  </si>
  <si>
    <t>973  12 00</t>
  </si>
  <si>
    <t>973  12 02</t>
  </si>
  <si>
    <t>973  12 02 4570000251</t>
  </si>
  <si>
    <t>973  12 02 4570000251 200</t>
  </si>
  <si>
    <t xml:space="preserve">Расходы бюджета </t>
  </si>
  <si>
    <t>х</t>
  </si>
  <si>
    <t>ИТОГО</t>
  </si>
  <si>
    <t>Показатели расходов бюджета по разделам и подразделам расходов классификации расходов бюджета</t>
  </si>
  <si>
    <t>Код раздела / подраздела</t>
  </si>
  <si>
    <t xml:space="preserve">  01 00 </t>
  </si>
  <si>
    <t xml:space="preserve">  01 02</t>
  </si>
  <si>
    <t xml:space="preserve">  01 03 </t>
  </si>
  <si>
    <t xml:space="preserve">  01 04 </t>
  </si>
  <si>
    <t xml:space="preserve">  01 11 </t>
  </si>
  <si>
    <t xml:space="preserve">  01 13</t>
  </si>
  <si>
    <t xml:space="preserve">  03 00</t>
  </si>
  <si>
    <t xml:space="preserve">  03 10</t>
  </si>
  <si>
    <t xml:space="preserve">  04 00</t>
  </si>
  <si>
    <t xml:space="preserve">  04 01</t>
  </si>
  <si>
    <t xml:space="preserve">  05 00 </t>
  </si>
  <si>
    <t xml:space="preserve">  05 03</t>
  </si>
  <si>
    <t xml:space="preserve">  07 00</t>
  </si>
  <si>
    <t xml:space="preserve">  07 05</t>
  </si>
  <si>
    <t xml:space="preserve">  07 09</t>
  </si>
  <si>
    <t xml:space="preserve">  08 00 </t>
  </si>
  <si>
    <t xml:space="preserve">  08 01</t>
  </si>
  <si>
    <t xml:space="preserve">  10 00</t>
  </si>
  <si>
    <t xml:space="preserve">  10 01</t>
  </si>
  <si>
    <t xml:space="preserve">  10 03</t>
  </si>
  <si>
    <t xml:space="preserve">  10 04</t>
  </si>
  <si>
    <t xml:space="preserve">  11 00</t>
  </si>
  <si>
    <t xml:space="preserve">  11 01</t>
  </si>
  <si>
    <t xml:space="preserve">  12 00</t>
  </si>
  <si>
    <t xml:space="preserve">  12 02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</si>
  <si>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</si>
  <si>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</si>
  <si>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</si>
  <si>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денежных средств бюджетов</t>
  </si>
  <si>
    <t>000 01 05 02 01 00 0000 510</t>
  </si>
  <si>
    <t>973 01 05 02 01 03 0000 510</t>
  </si>
  <si>
    <t>Уменьшение остатков средств бюджетов</t>
  </si>
  <si>
    <t>000 01 05 00 00 00 0000 600</t>
  </si>
  <si>
    <t>Уменьшение прочих остатков средств б юджетов</t>
  </si>
  <si>
    <t>000 01 05 02 00 00 0000 600</t>
  </si>
  <si>
    <t>Уменьшение прочих остатков денежных средств бюджетов</t>
  </si>
  <si>
    <t>000 01 05 02 01 00 0000 610</t>
  </si>
  <si>
    <t>973 01 05 02 01 03 0000 610</t>
  </si>
  <si>
    <t>Наименование групп, подгрупп, статей, подстатей, элементов, видов источников внутреннего фи-нансирования дефицита бюджета</t>
  </si>
  <si>
    <t>Код классификации источ-ников финансирования дефицитов бюджетов</t>
  </si>
  <si>
    <t>Утверждено на 2023 год, тыс. руб.</t>
  </si>
  <si>
    <t>Исполнено за 2023 год, тыс. руб.</t>
  </si>
  <si>
    <t>000 01 00 00 00 00 0000 000</t>
  </si>
  <si>
    <t>000 01 05 00 00 00 0000 000</t>
  </si>
  <si>
    <t>Источники  бюджета, в том числе</t>
  </si>
  <si>
    <t>Источники  внутреннего финансирования дефицитов бюджетов, из них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</si>
  <si>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</si>
  <si>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</si>
  <si>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 дств бюджетов внутригородских муниципальных образований городов федерального з 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</si>
  <si>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</si>
  <si>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Показатели доходов бюджета по кодам классификации доходов бюджета</t>
  </si>
  <si>
    <t>Годовой отчет об исполнении
внутригородского муниципального образования города федерального значения Санкт-Петербурга муниципальный округ Купчино
за 2023 финансовый год</t>
  </si>
  <si>
    <t xml:space="preserve">Годовой отчет об исполнении
внутригородского муниципального образования города федерального значения Санкт-Петербурга муниципальный округ Купчино
за 2023 финансовый год
</t>
  </si>
  <si>
    <t xml:space="preserve">                                                                                 Приложение № 1
к Решению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13 от 19.06.2024
</t>
  </si>
  <si>
    <t xml:space="preserve">                                                                                                             Приложение № 2
к Решению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13 от 19.06.2024
</t>
  </si>
  <si>
    <t xml:space="preserve">                                                                                                                Приложение № 3
к Решению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13 от 19.06.2024</t>
  </si>
  <si>
    <t xml:space="preserve">                                                                                   Приложение № 4
к Решению МС МО  «Купчино» «Об утверждении годового отчета об исполнении местного бюджета внутригородского муниципального образования города федерального значения Санкт-Петербурга муниципальный округ Купчино на 2023 год и плановый период 2024-2025 годов» № 13 от 19.06.2024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</si>
</sst>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rgb="FF000000"/>
      <name val="Times New Roman"/>
      <charset val="204"/>
    </font>
    <font>
      <sz val="8"/>
      <name val="Times New Roman"/>
    </font>
    <font>
      <sz val="8"/>
      <color rgb="FF000000"/>
      <name val="Times New Roman"/>
      <family val="2"/>
    </font>
    <font>
      <b/>
      <sz val="8"/>
      <name val="Times New Roman"/>
    </font>
    <font>
      <b/>
      <sz val="8"/>
      <color rgb="FF000000"/>
      <name val="Times New Roman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2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top" shrinkToFit="1"/>
    </xf>
    <xf numFmtId="0" fontId="3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" fontId="2" fillId="0" borderId="4" xfId="0" applyNumberFormat="1" applyFont="1" applyFill="1" applyBorder="1" applyAlignment="1">
      <alignment horizontal="right" vertical="top" shrinkToFit="1"/>
    </xf>
    <xf numFmtId="4" fontId="2" fillId="0" borderId="5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horizontal="left" vertical="center" wrapText="1" indent="4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vertical="top" shrinkToFit="1"/>
    </xf>
    <xf numFmtId="0" fontId="10" fillId="0" borderId="1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justify" vertical="top" wrapText="1"/>
    </xf>
    <xf numFmtId="0" fontId="10" fillId="0" borderId="7" xfId="0" applyFont="1" applyFill="1" applyBorder="1" applyAlignment="1">
      <alignment horizontal="left" vertical="top" wrapText="1"/>
    </xf>
    <xf numFmtId="4" fontId="8" fillId="0" borderId="7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left" vertical="top"/>
    </xf>
    <xf numFmtId="1" fontId="10" fillId="0" borderId="1" xfId="0" applyNumberFormat="1" applyFont="1" applyFill="1" applyBorder="1" applyAlignment="1">
      <alignment horizontal="center" vertical="center" shrinkToFit="1"/>
    </xf>
    <xf numFmtId="1" fontId="10" fillId="0" borderId="1" xfId="0" applyNumberFormat="1" applyFont="1" applyFill="1" applyBorder="1" applyAlignment="1">
      <alignment horizontal="center" shrinkToFit="1"/>
    </xf>
    <xf numFmtId="1" fontId="10" fillId="0" borderId="2" xfId="0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shrinkToFit="1"/>
    </xf>
    <xf numFmtId="4" fontId="10" fillId="0" borderId="2" xfId="0" applyNumberFormat="1" applyFont="1" applyFill="1" applyBorder="1" applyAlignment="1">
      <alignment horizontal="center" vertical="center" shrinkToFit="1"/>
    </xf>
    <xf numFmtId="4" fontId="10" fillId="0" borderId="1" xfId="0" applyNumberFormat="1" applyFont="1" applyFill="1" applyBorder="1" applyAlignment="1">
      <alignment horizontal="right" vertical="top" shrinkToFit="1"/>
    </xf>
    <xf numFmtId="4" fontId="10" fillId="0" borderId="2" xfId="0" applyNumberFormat="1" applyFont="1" applyFill="1" applyBorder="1" applyAlignment="1">
      <alignment horizontal="right" vertical="top" shrinkToFit="1"/>
    </xf>
    <xf numFmtId="4" fontId="10" fillId="0" borderId="7" xfId="0" applyNumberFormat="1" applyFont="1" applyFill="1" applyBorder="1" applyAlignment="1">
      <alignment horizontal="right" vertical="top" shrinkToFit="1"/>
    </xf>
    <xf numFmtId="4" fontId="10" fillId="0" borderId="4" xfId="0" applyNumberFormat="1" applyFont="1" applyFill="1" applyBorder="1" applyAlignment="1">
      <alignment horizontal="right" vertical="top" shrinkToFi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4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justify" vertical="distributed" wrapText="1"/>
    </xf>
    <xf numFmtId="0" fontId="0" fillId="0" borderId="4" xfId="0" applyFill="1" applyBorder="1" applyAlignment="1">
      <alignment horizontal="justify" vertical="distributed" wrapText="1"/>
    </xf>
    <xf numFmtId="4" fontId="2" fillId="0" borderId="5" xfId="0" applyNumberFormat="1" applyFont="1" applyFill="1" applyBorder="1" applyAlignment="1">
      <alignment horizontal="right" vertical="top" shrinkToFit="1"/>
    </xf>
    <xf numFmtId="4" fontId="2" fillId="0" borderId="6" xfId="0" applyNumberFormat="1" applyFont="1" applyFill="1" applyBorder="1" applyAlignment="1">
      <alignment horizontal="right" vertical="top" shrinkToFi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justify" vertical="distributed" wrapText="1"/>
    </xf>
    <xf numFmtId="4" fontId="4" fillId="0" borderId="5" xfId="0" applyNumberFormat="1" applyFont="1" applyFill="1" applyBorder="1" applyAlignment="1">
      <alignment horizontal="right" vertical="top" shrinkToFit="1"/>
    </xf>
    <xf numFmtId="4" fontId="4" fillId="0" borderId="6" xfId="0" applyNumberFormat="1" applyFont="1" applyFill="1" applyBorder="1" applyAlignment="1">
      <alignment horizontal="right" vertical="top" shrinkToFit="1"/>
    </xf>
    <xf numFmtId="4" fontId="0" fillId="0" borderId="5" xfId="0" applyNumberFormat="1" applyFill="1" applyBorder="1" applyAlignment="1">
      <alignment horizontal="left" vertical="top" wrapText="1"/>
    </xf>
    <xf numFmtId="4" fontId="0" fillId="0" borderId="6" xfId="0" applyNumberFormat="1" applyFill="1" applyBorder="1" applyAlignment="1">
      <alignment horizontal="left" vertical="top" wrapText="1"/>
    </xf>
    <xf numFmtId="4" fontId="0" fillId="0" borderId="5" xfId="0" applyNumberFormat="1" applyFill="1" applyBorder="1" applyAlignment="1">
      <alignment horizontal="left" wrapText="1"/>
    </xf>
    <xf numFmtId="4" fontId="0" fillId="0" borderId="6" xfId="0" applyNumberFormat="1" applyFill="1" applyBorder="1" applyAlignment="1">
      <alignment horizontal="left" wrapText="1"/>
    </xf>
    <xf numFmtId="4" fontId="0" fillId="0" borderId="5" xfId="0" applyNumberFormat="1" applyFill="1" applyBorder="1" applyAlignment="1">
      <alignment horizontal="left" vertical="center" wrapText="1"/>
    </xf>
    <xf numFmtId="4" fontId="0" fillId="0" borderId="6" xfId="0" applyNumberForma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right" vertical="top" shrinkToFit="1"/>
    </xf>
    <xf numFmtId="0" fontId="7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justify" vertical="top" wrapText="1"/>
    </xf>
    <xf numFmtId="0" fontId="0" fillId="0" borderId="0" xfId="0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 shrinkToFit="1"/>
    </xf>
    <xf numFmtId="0" fontId="0" fillId="0" borderId="10" xfId="0" applyFill="1" applyBorder="1" applyAlignment="1">
      <alignment horizontal="left" vertical="top" wrapText="1" shrinkToFit="1"/>
    </xf>
    <xf numFmtId="0" fontId="0" fillId="0" borderId="6" xfId="0" applyFill="1" applyBorder="1" applyAlignment="1">
      <alignment horizontal="left" vertical="top" wrapText="1" shrinkToFit="1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top" shrinkToFit="1"/>
    </xf>
    <xf numFmtId="1" fontId="8" fillId="0" borderId="3" xfId="0" applyNumberFormat="1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justify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28156</xdr:colOff>
      <xdr:row>16</xdr:row>
      <xdr:rowOff>0</xdr:rowOff>
    </xdr:from>
    <xdr:ext cx="1153160" cy="0"/>
    <xdr:sp macro="" textlink="">
      <xdr:nvSpPr>
        <xdr:cNvPr id="2" name="Shape 2"/>
        <xdr:cNvSpPr/>
      </xdr:nvSpPr>
      <xdr:spPr>
        <a:xfrm>
          <a:off x="0" y="0"/>
          <a:ext cx="1153160" cy="0"/>
        </a:xfrm>
        <a:custGeom>
          <a:avLst/>
          <a:gdLst/>
          <a:ahLst/>
          <a:cxnLst/>
          <a:rect l="0" t="0" r="0" b="0"/>
          <a:pathLst>
            <a:path w="1153160">
              <a:moveTo>
                <a:pt x="0" y="0"/>
              </a:moveTo>
              <a:lnTo>
                <a:pt x="115316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3</xdr:col>
      <xdr:colOff>216</xdr:colOff>
      <xdr:row>16</xdr:row>
      <xdr:rowOff>0</xdr:rowOff>
    </xdr:from>
    <xdr:ext cx="1495209" cy="857250"/>
    <xdr:sp macro="" textlink="">
      <xdr:nvSpPr>
        <xdr:cNvPr id="3" name="Shape 3"/>
        <xdr:cNvSpPr/>
      </xdr:nvSpPr>
      <xdr:spPr>
        <a:xfrm>
          <a:off x="5400891" y="7038975"/>
          <a:ext cx="1495209" cy="857250"/>
        </a:xfrm>
        <a:custGeom>
          <a:avLst/>
          <a:gdLst/>
          <a:ahLst/>
          <a:cxnLst/>
          <a:rect l="0" t="0" r="0" b="0"/>
          <a:pathLst>
            <a:path w="2957830">
              <a:moveTo>
                <a:pt x="0" y="0"/>
              </a:moveTo>
              <a:lnTo>
                <a:pt x="2957829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</xdr:col>
      <xdr:colOff>28156</xdr:colOff>
      <xdr:row>16</xdr:row>
      <xdr:rowOff>0</xdr:rowOff>
    </xdr:from>
    <xdr:ext cx="1153160" cy="0"/>
    <xdr:sp macro="" textlink="">
      <xdr:nvSpPr>
        <xdr:cNvPr id="4" name="Shape 4"/>
        <xdr:cNvSpPr/>
      </xdr:nvSpPr>
      <xdr:spPr>
        <a:xfrm>
          <a:off x="0" y="0"/>
          <a:ext cx="1153160" cy="0"/>
        </a:xfrm>
        <a:custGeom>
          <a:avLst/>
          <a:gdLst/>
          <a:ahLst/>
          <a:cxnLst/>
          <a:rect l="0" t="0" r="0" b="0"/>
          <a:pathLst>
            <a:path w="1153160">
              <a:moveTo>
                <a:pt x="0" y="0"/>
              </a:moveTo>
              <a:lnTo>
                <a:pt x="115316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1</xdr:col>
      <xdr:colOff>28156</xdr:colOff>
      <xdr:row>16</xdr:row>
      <xdr:rowOff>0</xdr:rowOff>
    </xdr:from>
    <xdr:ext cx="1153160" cy="0"/>
    <xdr:sp macro="" textlink="">
      <xdr:nvSpPr>
        <xdr:cNvPr id="6" name="Shape 6"/>
        <xdr:cNvSpPr/>
      </xdr:nvSpPr>
      <xdr:spPr>
        <a:xfrm>
          <a:off x="0" y="0"/>
          <a:ext cx="1153160" cy="0"/>
        </a:xfrm>
        <a:custGeom>
          <a:avLst/>
          <a:gdLst/>
          <a:ahLst/>
          <a:cxnLst/>
          <a:rect l="0" t="0" r="0" b="0"/>
          <a:pathLst>
            <a:path w="1153160">
              <a:moveTo>
                <a:pt x="0" y="0"/>
              </a:moveTo>
              <a:lnTo>
                <a:pt x="1153160" y="0"/>
              </a:lnTo>
            </a:path>
          </a:pathLst>
        </a:custGeom>
        <a:ln w="3175">
          <a:solidFill>
            <a:srgbClr val="000000"/>
          </a:solidFill>
        </a:ln>
      </xdr:spPr>
      <xdr:txBody>
        <a:bodyPr/>
        <a:lstStyle/>
        <a:p>
          <a:r>
            <a:rPr lang="ru-RU"/>
            <a:t>ИТОГО</a:t>
          </a:r>
        </a:p>
      </xdr:txBody>
    </xdr:sp>
    <xdr:clientData/>
  </xdr:oneCellAnchor>
  <xdr:oneCellAnchor>
    <xdr:from>
      <xdr:col>0</xdr:col>
      <xdr:colOff>502919</xdr:colOff>
      <xdr:row>16</xdr:row>
      <xdr:rowOff>0</xdr:rowOff>
    </xdr:from>
    <xdr:ext cx="647700" cy="0"/>
    <xdr:sp macro="" textlink="">
      <xdr:nvSpPr>
        <xdr:cNvPr id="8" name="Shape 8"/>
        <xdr:cNvSpPr/>
      </xdr:nvSpPr>
      <xdr:spPr>
        <a:xfrm>
          <a:off x="0" y="0"/>
          <a:ext cx="647700" cy="0"/>
        </a:xfrm>
        <a:custGeom>
          <a:avLst/>
          <a:gdLst/>
          <a:ahLst/>
          <a:cxnLst/>
          <a:rect l="0" t="0" r="0" b="0"/>
          <a:pathLst>
            <a:path w="647700">
              <a:moveTo>
                <a:pt x="0" y="0"/>
              </a:moveTo>
              <a:lnTo>
                <a:pt x="647699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0</xdr:col>
      <xdr:colOff>1332230</xdr:colOff>
      <xdr:row>16</xdr:row>
      <xdr:rowOff>0</xdr:rowOff>
    </xdr:from>
    <xdr:ext cx="1296670" cy="0"/>
    <xdr:sp macro="" textlink="">
      <xdr:nvSpPr>
        <xdr:cNvPr id="9" name="Shape 9"/>
        <xdr:cNvSpPr/>
      </xdr:nvSpPr>
      <xdr:spPr>
        <a:xfrm>
          <a:off x="0" y="0"/>
          <a:ext cx="1296670" cy="0"/>
        </a:xfrm>
        <a:custGeom>
          <a:avLst/>
          <a:gdLst/>
          <a:ahLst/>
          <a:cxnLst/>
          <a:rect l="0" t="0" r="0" b="0"/>
          <a:pathLst>
            <a:path w="1296670">
              <a:moveTo>
                <a:pt x="0" y="0"/>
              </a:moveTo>
              <a:lnTo>
                <a:pt x="1296670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  <xdr:oneCellAnchor>
    <xdr:from>
      <xdr:col>2</xdr:col>
      <xdr:colOff>415290</xdr:colOff>
      <xdr:row>16</xdr:row>
      <xdr:rowOff>0</xdr:rowOff>
    </xdr:from>
    <xdr:ext cx="429259" cy="0"/>
    <xdr:sp macro="" textlink="">
      <xdr:nvSpPr>
        <xdr:cNvPr id="10" name="Shape 10"/>
        <xdr:cNvSpPr/>
      </xdr:nvSpPr>
      <xdr:spPr>
        <a:xfrm>
          <a:off x="0" y="0"/>
          <a:ext cx="429259" cy="0"/>
        </a:xfrm>
        <a:custGeom>
          <a:avLst/>
          <a:gdLst/>
          <a:ahLst/>
          <a:cxnLst/>
          <a:rect l="0" t="0" r="0" b="0"/>
          <a:pathLst>
            <a:path w="429259">
              <a:moveTo>
                <a:pt x="0" y="0"/>
              </a:moveTo>
              <a:lnTo>
                <a:pt x="429259" y="0"/>
              </a:lnTo>
            </a:path>
          </a:pathLst>
        </a:custGeom>
        <a:ln w="3175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38"/>
  <sheetViews>
    <sheetView view="pageBreakPreview" topLeftCell="A19" zoomScaleNormal="100" zoomScaleSheetLayoutView="100" workbookViewId="0">
      <selection activeCell="A2" sqref="A2:H2"/>
    </sheetView>
  </sheetViews>
  <sheetFormatPr defaultRowHeight="12.75" x14ac:dyDescent="0.2"/>
  <cols>
    <col min="1" max="1" width="25.83203125" customWidth="1"/>
    <col min="2" max="2" width="27.5" customWidth="1"/>
    <col min="3" max="3" width="31" customWidth="1"/>
    <col min="4" max="4" width="11.33203125" customWidth="1"/>
    <col min="5" max="5" width="10.5" customWidth="1"/>
    <col min="6" max="7" width="18.1640625" customWidth="1"/>
    <col min="8" max="8" width="19.6640625" customWidth="1"/>
  </cols>
  <sheetData>
    <row r="1" spans="1:8" ht="92.25" customHeight="1" x14ac:dyDescent="0.2">
      <c r="A1" s="53"/>
      <c r="B1" s="53"/>
      <c r="C1" s="53"/>
      <c r="D1" s="53"/>
      <c r="E1" s="54" t="s">
        <v>288</v>
      </c>
      <c r="F1" s="55"/>
      <c r="G1" s="55"/>
      <c r="H1" s="55"/>
    </row>
    <row r="2" spans="1:8" ht="78" customHeight="1" x14ac:dyDescent="0.2">
      <c r="A2" s="36" t="s">
        <v>287</v>
      </c>
      <c r="B2" s="37"/>
      <c r="C2" s="37"/>
      <c r="D2" s="37"/>
      <c r="E2" s="37"/>
      <c r="F2" s="37"/>
      <c r="G2" s="37"/>
      <c r="H2" s="37"/>
    </row>
    <row r="3" spans="1:8" ht="30" customHeight="1" x14ac:dyDescent="0.2">
      <c r="A3" s="56" t="s">
        <v>285</v>
      </c>
      <c r="B3" s="57"/>
      <c r="C3" s="57"/>
      <c r="D3" s="57"/>
      <c r="E3" s="57"/>
      <c r="F3" s="57"/>
      <c r="G3" s="57"/>
      <c r="H3" s="57"/>
    </row>
    <row r="4" spans="1:8" ht="48" customHeight="1" x14ac:dyDescent="0.2">
      <c r="A4" s="58" t="s">
        <v>57</v>
      </c>
      <c r="B4" s="58"/>
      <c r="C4" s="12" t="s">
        <v>58</v>
      </c>
      <c r="D4" s="58" t="s">
        <v>59</v>
      </c>
      <c r="E4" s="58"/>
      <c r="F4" s="12" t="s">
        <v>60</v>
      </c>
      <c r="G4" s="12" t="s">
        <v>61</v>
      </c>
      <c r="H4" s="12" t="s">
        <v>56</v>
      </c>
    </row>
    <row r="5" spans="1:8" ht="14.85" customHeight="1" x14ac:dyDescent="0.2">
      <c r="A5" s="48">
        <v>1</v>
      </c>
      <c r="B5" s="48"/>
      <c r="C5" s="2">
        <v>2</v>
      </c>
      <c r="D5" s="48">
        <v>3</v>
      </c>
      <c r="E5" s="48"/>
      <c r="F5" s="2">
        <v>4</v>
      </c>
      <c r="G5" s="2">
        <v>5</v>
      </c>
      <c r="H5" s="2">
        <v>6</v>
      </c>
    </row>
    <row r="6" spans="1:8" ht="24" customHeight="1" x14ac:dyDescent="0.2">
      <c r="A6" s="49" t="s">
        <v>62</v>
      </c>
      <c r="B6" s="50"/>
      <c r="C6" s="3" t="s">
        <v>68</v>
      </c>
      <c r="D6" s="51">
        <f>117473600/1000</f>
        <v>117473.60000000001</v>
      </c>
      <c r="E6" s="51"/>
      <c r="F6" s="4">
        <f>117854794.63/1000</f>
        <v>117854.79462999999</v>
      </c>
      <c r="G6" s="8">
        <f>D6-F6</f>
        <v>-381.19462999998359</v>
      </c>
      <c r="H6" s="7">
        <f>(F6*100)/D6</f>
        <v>100.32449386926083</v>
      </c>
    </row>
    <row r="7" spans="1:8" ht="24" customHeight="1" x14ac:dyDescent="0.2">
      <c r="A7" s="52" t="s">
        <v>65</v>
      </c>
      <c r="B7" s="47"/>
      <c r="C7" s="5" t="s">
        <v>0</v>
      </c>
      <c r="D7" s="51">
        <f>1937100/1000</f>
        <v>1937.1</v>
      </c>
      <c r="E7" s="51"/>
      <c r="F7" s="4">
        <f>2498302.27/1000</f>
        <v>2498.3022700000001</v>
      </c>
      <c r="G7" s="8">
        <f t="shared" ref="G7:G38" si="0">D7-F7</f>
        <v>-561.20227000000023</v>
      </c>
      <c r="H7" s="7">
        <f t="shared" ref="H7:H38" si="1">(F7*100)/D7</f>
        <v>128.97125961488825</v>
      </c>
    </row>
    <row r="8" spans="1:8" ht="14.85" customHeight="1" x14ac:dyDescent="0.2">
      <c r="A8" s="47" t="s">
        <v>1</v>
      </c>
      <c r="B8" s="47"/>
      <c r="C8" s="5" t="s">
        <v>2</v>
      </c>
      <c r="D8" s="39">
        <f>1937100/1000</f>
        <v>1937.1</v>
      </c>
      <c r="E8" s="40"/>
      <c r="F8" s="4">
        <f>2107261.38/1000</f>
        <v>2107.2613799999999</v>
      </c>
      <c r="G8" s="8">
        <f t="shared" si="0"/>
        <v>-170.16138000000001</v>
      </c>
      <c r="H8" s="7">
        <f t="shared" si="1"/>
        <v>108.78433637912343</v>
      </c>
    </row>
    <row r="9" spans="1:8" ht="14.85" customHeight="1" x14ac:dyDescent="0.2">
      <c r="A9" s="47" t="s">
        <v>3</v>
      </c>
      <c r="B9" s="47"/>
      <c r="C9" s="5" t="s">
        <v>4</v>
      </c>
      <c r="D9" s="39">
        <f>1937100/1000</f>
        <v>1937.1</v>
      </c>
      <c r="E9" s="40"/>
      <c r="F9" s="4">
        <f>2107261.38/1000</f>
        <v>2107.2613799999999</v>
      </c>
      <c r="G9" s="8">
        <f t="shared" si="0"/>
        <v>-170.16138000000001</v>
      </c>
      <c r="H9" s="7">
        <f t="shared" si="1"/>
        <v>108.78433637912343</v>
      </c>
    </row>
    <row r="10" spans="1:8" ht="74.25" customHeight="1" x14ac:dyDescent="0.2">
      <c r="A10" s="32" t="s">
        <v>55</v>
      </c>
      <c r="B10" s="33"/>
      <c r="C10" s="6" t="s">
        <v>5</v>
      </c>
      <c r="D10" s="34">
        <f>1937100/1000</f>
        <v>1937.1</v>
      </c>
      <c r="E10" s="35"/>
      <c r="F10" s="7">
        <f>2107261.38/1000</f>
        <v>2107.2613799999999</v>
      </c>
      <c r="G10" s="8">
        <f t="shared" si="0"/>
        <v>-170.16138000000001</v>
      </c>
      <c r="H10" s="7">
        <f t="shared" si="1"/>
        <v>108.78433637912343</v>
      </c>
    </row>
    <row r="11" spans="1:8" ht="33" customHeight="1" x14ac:dyDescent="0.2">
      <c r="A11" s="47" t="s">
        <v>6</v>
      </c>
      <c r="B11" s="47"/>
      <c r="C11" s="5" t="s">
        <v>7</v>
      </c>
      <c r="D11" s="45"/>
      <c r="E11" s="46"/>
      <c r="F11" s="4">
        <f>3000/1000</f>
        <v>3</v>
      </c>
      <c r="G11" s="8">
        <f t="shared" si="0"/>
        <v>-3</v>
      </c>
      <c r="H11" s="7"/>
    </row>
    <row r="12" spans="1:8" ht="24" customHeight="1" x14ac:dyDescent="0.2">
      <c r="A12" s="47" t="s">
        <v>8</v>
      </c>
      <c r="B12" s="47"/>
      <c r="C12" s="5" t="s">
        <v>9</v>
      </c>
      <c r="D12" s="45"/>
      <c r="E12" s="46"/>
      <c r="F12" s="4">
        <f>3000/1000</f>
        <v>3</v>
      </c>
      <c r="G12" s="8">
        <f t="shared" si="0"/>
        <v>-3</v>
      </c>
      <c r="H12" s="7"/>
    </row>
    <row r="13" spans="1:8" ht="24" customHeight="1" x14ac:dyDescent="0.2">
      <c r="A13" s="47" t="s">
        <v>10</v>
      </c>
      <c r="B13" s="47"/>
      <c r="C13" s="5" t="s">
        <v>11</v>
      </c>
      <c r="D13" s="45"/>
      <c r="E13" s="46"/>
      <c r="F13" s="4">
        <f>3000/1000</f>
        <v>3</v>
      </c>
      <c r="G13" s="8">
        <f t="shared" si="0"/>
        <v>-3</v>
      </c>
      <c r="H13" s="7"/>
    </row>
    <row r="14" spans="1:8" ht="33.200000000000003" customHeight="1" x14ac:dyDescent="0.2">
      <c r="A14" s="32" t="s">
        <v>12</v>
      </c>
      <c r="B14" s="33"/>
      <c r="C14" s="6" t="s">
        <v>13</v>
      </c>
      <c r="D14" s="45"/>
      <c r="E14" s="46"/>
      <c r="F14" s="7">
        <f>3000/1000</f>
        <v>3</v>
      </c>
      <c r="G14" s="8">
        <f t="shared" si="0"/>
        <v>-3</v>
      </c>
      <c r="H14" s="7"/>
    </row>
    <row r="15" spans="1:8" ht="60" customHeight="1" x14ac:dyDescent="0.2">
      <c r="A15" s="32" t="s">
        <v>14</v>
      </c>
      <c r="B15" s="33"/>
      <c r="C15" s="6" t="s">
        <v>15</v>
      </c>
      <c r="D15" s="41"/>
      <c r="E15" s="42"/>
      <c r="F15" s="7">
        <f>3000/1000</f>
        <v>3</v>
      </c>
      <c r="G15" s="8">
        <f t="shared" si="0"/>
        <v>-3</v>
      </c>
      <c r="H15" s="7"/>
    </row>
    <row r="16" spans="1:8" ht="24" customHeight="1" x14ac:dyDescent="0.2">
      <c r="A16" s="32" t="s">
        <v>16</v>
      </c>
      <c r="B16" s="33"/>
      <c r="C16" s="5" t="s">
        <v>17</v>
      </c>
      <c r="D16" s="45"/>
      <c r="E16" s="46"/>
      <c r="F16" s="4">
        <f>389833.97/1000</f>
        <v>389.83396999999997</v>
      </c>
      <c r="G16" s="8">
        <f t="shared" si="0"/>
        <v>-389.83396999999997</v>
      </c>
      <c r="H16" s="7"/>
    </row>
    <row r="17" spans="1:8" ht="105.75" customHeight="1" x14ac:dyDescent="0.2">
      <c r="A17" s="38" t="s">
        <v>69</v>
      </c>
      <c r="B17" s="33"/>
      <c r="C17" s="5" t="s">
        <v>18</v>
      </c>
      <c r="D17" s="41"/>
      <c r="E17" s="42"/>
      <c r="F17" s="4">
        <f>389833.97/1000</f>
        <v>389.83396999999997</v>
      </c>
      <c r="G17" s="8">
        <f t="shared" si="0"/>
        <v>-389.83396999999997</v>
      </c>
      <c r="H17" s="7"/>
    </row>
    <row r="18" spans="1:8" ht="51.6" customHeight="1" x14ac:dyDescent="0.2">
      <c r="A18" s="32" t="s">
        <v>19</v>
      </c>
      <c r="B18" s="33"/>
      <c r="C18" s="5" t="s">
        <v>20</v>
      </c>
      <c r="D18" s="41"/>
      <c r="E18" s="42"/>
      <c r="F18" s="4">
        <f>389833.97/1000</f>
        <v>389.83396999999997</v>
      </c>
      <c r="G18" s="8">
        <f t="shared" si="0"/>
        <v>-389.83396999999997</v>
      </c>
      <c r="H18" s="7"/>
    </row>
    <row r="19" spans="1:8" ht="79.349999999999994" customHeight="1" x14ac:dyDescent="0.2">
      <c r="A19" s="32" t="s">
        <v>21</v>
      </c>
      <c r="B19" s="33"/>
      <c r="C19" s="6" t="s">
        <v>22</v>
      </c>
      <c r="D19" s="41"/>
      <c r="E19" s="42"/>
      <c r="F19" s="7">
        <f>389833.97/1000</f>
        <v>389.83396999999997</v>
      </c>
      <c r="G19" s="8">
        <f t="shared" si="0"/>
        <v>-389.83396999999997</v>
      </c>
      <c r="H19" s="7"/>
    </row>
    <row r="20" spans="1:8" ht="14.85" customHeight="1" x14ac:dyDescent="0.2">
      <c r="A20" s="32" t="s">
        <v>23</v>
      </c>
      <c r="B20" s="33"/>
      <c r="C20" s="5" t="s">
        <v>24</v>
      </c>
      <c r="D20" s="43"/>
      <c r="E20" s="44"/>
      <c r="F20" s="4">
        <f>-1793.08/1000</f>
        <v>-1.79308</v>
      </c>
      <c r="G20" s="8">
        <f t="shared" si="0"/>
        <v>1.79308</v>
      </c>
      <c r="H20" s="7"/>
    </row>
    <row r="21" spans="1:8" ht="14.85" customHeight="1" x14ac:dyDescent="0.2">
      <c r="A21" s="32" t="s">
        <v>25</v>
      </c>
      <c r="B21" s="33"/>
      <c r="C21" s="5" t="s">
        <v>26</v>
      </c>
      <c r="D21" s="43"/>
      <c r="E21" s="44"/>
      <c r="F21" s="4">
        <f>-643115.08/1000</f>
        <v>-643.11507999999992</v>
      </c>
      <c r="G21" s="8">
        <f t="shared" si="0"/>
        <v>643.11507999999992</v>
      </c>
      <c r="H21" s="7"/>
    </row>
    <row r="22" spans="1:8" ht="42.2" customHeight="1" x14ac:dyDescent="0.2">
      <c r="A22" s="32" t="s">
        <v>27</v>
      </c>
      <c r="B22" s="33"/>
      <c r="C22" s="6" t="s">
        <v>28</v>
      </c>
      <c r="D22" s="41"/>
      <c r="E22" s="42"/>
      <c r="F22" s="7">
        <f>-643115.08/1000</f>
        <v>-643.11507999999992</v>
      </c>
      <c r="G22" s="8">
        <f t="shared" si="0"/>
        <v>643.11507999999992</v>
      </c>
      <c r="H22" s="7"/>
    </row>
    <row r="23" spans="1:8" ht="63.75" customHeight="1" x14ac:dyDescent="0.2">
      <c r="A23" s="32" t="s">
        <v>29</v>
      </c>
      <c r="B23" s="33"/>
      <c r="C23" s="5" t="s">
        <v>30</v>
      </c>
      <c r="D23" s="41"/>
      <c r="E23" s="42"/>
      <c r="F23" s="4">
        <f>641322/1000</f>
        <v>641.322</v>
      </c>
      <c r="G23" s="8">
        <f t="shared" si="0"/>
        <v>-641.322</v>
      </c>
      <c r="H23" s="7"/>
    </row>
    <row r="24" spans="1:8" ht="77.25" customHeight="1" x14ac:dyDescent="0.2">
      <c r="A24" s="32" t="s">
        <v>71</v>
      </c>
      <c r="B24" s="33"/>
      <c r="C24" s="6" t="s">
        <v>31</v>
      </c>
      <c r="D24" s="41"/>
      <c r="E24" s="42"/>
      <c r="F24" s="7">
        <f>641322/1000</f>
        <v>641.322</v>
      </c>
      <c r="G24" s="8">
        <f t="shared" si="0"/>
        <v>-641.322</v>
      </c>
      <c r="H24" s="7"/>
    </row>
    <row r="25" spans="1:8" ht="14.85" customHeight="1" x14ac:dyDescent="0.2">
      <c r="A25" s="32" t="s">
        <v>32</v>
      </c>
      <c r="B25" s="33"/>
      <c r="C25" s="5" t="s">
        <v>33</v>
      </c>
      <c r="D25" s="39">
        <f>115536500/1000</f>
        <v>115536.5</v>
      </c>
      <c r="E25" s="40"/>
      <c r="F25" s="4">
        <f>115356492.36/1000</f>
        <v>115356.49236</v>
      </c>
      <c r="G25" s="8">
        <f t="shared" si="0"/>
        <v>180.00763999999617</v>
      </c>
      <c r="H25" s="7">
        <f t="shared" si="1"/>
        <v>99.844198465420021</v>
      </c>
    </row>
    <row r="26" spans="1:8" ht="34.5" customHeight="1" x14ac:dyDescent="0.2">
      <c r="A26" s="38" t="s">
        <v>70</v>
      </c>
      <c r="B26" s="33"/>
      <c r="C26" s="5" t="s">
        <v>34</v>
      </c>
      <c r="D26" s="39">
        <f>115536500/1000</f>
        <v>115536.5</v>
      </c>
      <c r="E26" s="40"/>
      <c r="F26" s="4">
        <f>115356492.36/1000</f>
        <v>115356.49236</v>
      </c>
      <c r="G26" s="8">
        <f t="shared" si="0"/>
        <v>180.00763999999617</v>
      </c>
      <c r="H26" s="7">
        <f t="shared" si="1"/>
        <v>99.844198465420021</v>
      </c>
    </row>
    <row r="27" spans="1:8" ht="24" customHeight="1" x14ac:dyDescent="0.2">
      <c r="A27" s="32" t="s">
        <v>35</v>
      </c>
      <c r="B27" s="33"/>
      <c r="C27" s="5" t="s">
        <v>36</v>
      </c>
      <c r="D27" s="39">
        <f>96528400/1000</f>
        <v>96528.4</v>
      </c>
      <c r="E27" s="40"/>
      <c r="F27" s="4">
        <f>96528400/1000</f>
        <v>96528.4</v>
      </c>
      <c r="G27" s="8">
        <f t="shared" si="0"/>
        <v>0</v>
      </c>
      <c r="H27" s="7">
        <f t="shared" si="1"/>
        <v>100</v>
      </c>
    </row>
    <row r="28" spans="1:8" ht="24" customHeight="1" x14ac:dyDescent="0.2">
      <c r="A28" s="32" t="s">
        <v>37</v>
      </c>
      <c r="B28" s="33"/>
      <c r="C28" s="5" t="s">
        <v>38</v>
      </c>
      <c r="D28" s="39">
        <f>96528400/1000</f>
        <v>96528.4</v>
      </c>
      <c r="E28" s="40"/>
      <c r="F28" s="4">
        <f>96528400/1000</f>
        <v>96528.4</v>
      </c>
      <c r="G28" s="8">
        <f t="shared" si="0"/>
        <v>0</v>
      </c>
      <c r="H28" s="7">
        <f t="shared" si="1"/>
        <v>100</v>
      </c>
    </row>
    <row r="29" spans="1:8" ht="36.75" customHeight="1" x14ac:dyDescent="0.2">
      <c r="A29" s="32" t="s">
        <v>39</v>
      </c>
      <c r="B29" s="33"/>
      <c r="C29" s="6" t="s">
        <v>40</v>
      </c>
      <c r="D29" s="34">
        <f>96528400/1000</f>
        <v>96528.4</v>
      </c>
      <c r="E29" s="35"/>
      <c r="F29" s="7">
        <f>96528400/1000</f>
        <v>96528.4</v>
      </c>
      <c r="G29" s="8">
        <f t="shared" si="0"/>
        <v>0</v>
      </c>
      <c r="H29" s="7">
        <f t="shared" si="1"/>
        <v>100</v>
      </c>
    </row>
    <row r="30" spans="1:8" ht="24" customHeight="1" x14ac:dyDescent="0.2">
      <c r="A30" s="32" t="s">
        <v>41</v>
      </c>
      <c r="B30" s="33"/>
      <c r="C30" s="5" t="s">
        <v>42</v>
      </c>
      <c r="D30" s="39">
        <f>19008100/1000</f>
        <v>19008.099999999999</v>
      </c>
      <c r="E30" s="40"/>
      <c r="F30" s="4">
        <f>18828092.36/1000</f>
        <v>18828.092359999999</v>
      </c>
      <c r="G30" s="8">
        <f t="shared" si="0"/>
        <v>180.00763999999981</v>
      </c>
      <c r="H30" s="7">
        <f t="shared" si="1"/>
        <v>99.052995091566231</v>
      </c>
    </row>
    <row r="31" spans="1:8" ht="22.5" customHeight="1" x14ac:dyDescent="0.2">
      <c r="A31" s="32" t="s">
        <v>43</v>
      </c>
      <c r="B31" s="33"/>
      <c r="C31" s="5" t="s">
        <v>44</v>
      </c>
      <c r="D31" s="39">
        <f>3721100/1000</f>
        <v>3721.1</v>
      </c>
      <c r="E31" s="40"/>
      <c r="F31" s="4">
        <f>3709022.83/1000</f>
        <v>3709.0228299999999</v>
      </c>
      <c r="G31" s="8">
        <f t="shared" si="0"/>
        <v>12.077170000000024</v>
      </c>
      <c r="H31" s="7">
        <f t="shared" si="1"/>
        <v>99.675440864260565</v>
      </c>
    </row>
    <row r="32" spans="1:8" ht="37.5" customHeight="1" x14ac:dyDescent="0.2">
      <c r="A32" s="32" t="s">
        <v>45</v>
      </c>
      <c r="B32" s="33"/>
      <c r="C32" s="6" t="s">
        <v>46</v>
      </c>
      <c r="D32" s="34">
        <f>3721100/1000</f>
        <v>3721.1</v>
      </c>
      <c r="E32" s="35"/>
      <c r="F32" s="7">
        <f>3709022.83/1000</f>
        <v>3709.0228299999999</v>
      </c>
      <c r="G32" s="8">
        <f t="shared" si="0"/>
        <v>12.077170000000024</v>
      </c>
      <c r="H32" s="7">
        <f t="shared" si="1"/>
        <v>99.675440864260565</v>
      </c>
    </row>
    <row r="33" spans="1:8" ht="48.75" customHeight="1" x14ac:dyDescent="0.2">
      <c r="A33" s="32" t="s">
        <v>63</v>
      </c>
      <c r="B33" s="33"/>
      <c r="C33" s="6" t="s">
        <v>47</v>
      </c>
      <c r="D33" s="34">
        <f>3712300/1000</f>
        <v>3712.3</v>
      </c>
      <c r="E33" s="35"/>
      <c r="F33" s="7">
        <f>3700222.83/1000</f>
        <v>3700.2228300000002</v>
      </c>
      <c r="G33" s="8">
        <f t="shared" si="0"/>
        <v>12.077170000000024</v>
      </c>
      <c r="H33" s="7">
        <f t="shared" si="1"/>
        <v>99.674671497454398</v>
      </c>
    </row>
    <row r="34" spans="1:8" ht="79.349999999999994" customHeight="1" x14ac:dyDescent="0.2">
      <c r="A34" s="32" t="s">
        <v>64</v>
      </c>
      <c r="B34" s="33"/>
      <c r="C34" s="6" t="s">
        <v>48</v>
      </c>
      <c r="D34" s="34">
        <f>8800/1000</f>
        <v>8.8000000000000007</v>
      </c>
      <c r="E34" s="35"/>
      <c r="F34" s="7">
        <f>8800/1000</f>
        <v>8.8000000000000007</v>
      </c>
      <c r="G34" s="8">
        <f t="shared" si="0"/>
        <v>0</v>
      </c>
      <c r="H34" s="7">
        <f t="shared" si="1"/>
        <v>100</v>
      </c>
    </row>
    <row r="35" spans="1:8" ht="51.6" customHeight="1" x14ac:dyDescent="0.2">
      <c r="A35" s="38" t="s">
        <v>66</v>
      </c>
      <c r="B35" s="33"/>
      <c r="C35" s="5" t="s">
        <v>49</v>
      </c>
      <c r="D35" s="39">
        <f>15287000/1000</f>
        <v>15287</v>
      </c>
      <c r="E35" s="40"/>
      <c r="F35" s="4">
        <f>15119069.53/1000</f>
        <v>15119.069529999999</v>
      </c>
      <c r="G35" s="8">
        <f t="shared" si="0"/>
        <v>167.93047000000115</v>
      </c>
      <c r="H35" s="7">
        <f t="shared" si="1"/>
        <v>98.90148184732125</v>
      </c>
    </row>
    <row r="36" spans="1:8" ht="60.75" customHeight="1" x14ac:dyDescent="0.2">
      <c r="A36" s="32" t="s">
        <v>50</v>
      </c>
      <c r="B36" s="33"/>
      <c r="C36" s="6" t="s">
        <v>51</v>
      </c>
      <c r="D36" s="34">
        <f>15287000/1000</f>
        <v>15287</v>
      </c>
      <c r="E36" s="35"/>
      <c r="F36" s="7">
        <f>15119069.53/1000</f>
        <v>15119.069529999999</v>
      </c>
      <c r="G36" s="8">
        <f t="shared" si="0"/>
        <v>167.93047000000115</v>
      </c>
      <c r="H36" s="7">
        <f t="shared" si="1"/>
        <v>98.90148184732125</v>
      </c>
    </row>
    <row r="37" spans="1:8" ht="42.2" customHeight="1" x14ac:dyDescent="0.2">
      <c r="A37" s="32" t="s">
        <v>67</v>
      </c>
      <c r="B37" s="33"/>
      <c r="C37" s="6" t="s">
        <v>52</v>
      </c>
      <c r="D37" s="34">
        <f>10301600/1000</f>
        <v>10301.6</v>
      </c>
      <c r="E37" s="35"/>
      <c r="F37" s="7">
        <f>10221792/1000</f>
        <v>10221.791999999999</v>
      </c>
      <c r="G37" s="8">
        <f t="shared" si="0"/>
        <v>79.808000000000902</v>
      </c>
      <c r="H37" s="7">
        <f t="shared" si="1"/>
        <v>99.225285392560366</v>
      </c>
    </row>
    <row r="38" spans="1:8" ht="36" customHeight="1" x14ac:dyDescent="0.2">
      <c r="A38" s="32" t="s">
        <v>53</v>
      </c>
      <c r="B38" s="33"/>
      <c r="C38" s="6" t="s">
        <v>54</v>
      </c>
      <c r="D38" s="34">
        <f>4985400/1000</f>
        <v>4985.3999999999996</v>
      </c>
      <c r="E38" s="35"/>
      <c r="F38" s="7">
        <f>4897277.53/1000</f>
        <v>4897.2775300000003</v>
      </c>
      <c r="G38" s="8">
        <f t="shared" si="0"/>
        <v>88.122469999999339</v>
      </c>
      <c r="H38" s="7">
        <f t="shared" si="1"/>
        <v>98.232389176395088</v>
      </c>
    </row>
  </sheetData>
  <mergeCells count="74">
    <mergeCell ref="A1:D1"/>
    <mergeCell ref="E1:H1"/>
    <mergeCell ref="A3:H3"/>
    <mergeCell ref="A4:B4"/>
    <mergeCell ref="D4:E4"/>
    <mergeCell ref="A5:B5"/>
    <mergeCell ref="D5:E5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B13"/>
    <mergeCell ref="D13:E13"/>
    <mergeCell ref="A17:B17"/>
    <mergeCell ref="D17:E17"/>
    <mergeCell ref="A14:B14"/>
    <mergeCell ref="D14:E14"/>
    <mergeCell ref="A15:B15"/>
    <mergeCell ref="D15:E15"/>
    <mergeCell ref="A16:B16"/>
    <mergeCell ref="D16:E16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D31:E31"/>
    <mergeCell ref="A32:B32"/>
    <mergeCell ref="D32:E32"/>
    <mergeCell ref="A27:B27"/>
    <mergeCell ref="D27:E27"/>
    <mergeCell ref="A28:B28"/>
    <mergeCell ref="D28:E28"/>
    <mergeCell ref="A29:B29"/>
    <mergeCell ref="D29:E29"/>
    <mergeCell ref="A37:B37"/>
    <mergeCell ref="D37:E37"/>
    <mergeCell ref="A38:B38"/>
    <mergeCell ref="D38:E38"/>
    <mergeCell ref="A2:H2"/>
    <mergeCell ref="A34:B34"/>
    <mergeCell ref="D34:E34"/>
    <mergeCell ref="A35:B35"/>
    <mergeCell ref="D35:E35"/>
    <mergeCell ref="A36:B36"/>
    <mergeCell ref="D36:E36"/>
    <mergeCell ref="A33:B33"/>
    <mergeCell ref="D33:E33"/>
    <mergeCell ref="A30:B30"/>
    <mergeCell ref="D30:E30"/>
    <mergeCell ref="A31:B31"/>
  </mergeCells>
  <pageMargins left="0.70866141732283472" right="0.70866141732283472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01"/>
  <sheetViews>
    <sheetView view="pageBreakPreview" zoomScaleNormal="100" zoomScaleSheetLayoutView="100" workbookViewId="0">
      <selection activeCell="C1" sqref="C1:F1"/>
    </sheetView>
  </sheetViews>
  <sheetFormatPr defaultRowHeight="12.75" x14ac:dyDescent="0.2"/>
  <cols>
    <col min="1" max="1" width="51.1640625" style="19" customWidth="1"/>
    <col min="2" max="2" width="30.1640625" style="19" customWidth="1"/>
    <col min="3" max="3" width="18.1640625" style="19" customWidth="1"/>
    <col min="4" max="4" width="18.6640625" style="19" customWidth="1"/>
    <col min="5" max="5" width="18.1640625" style="19" customWidth="1"/>
    <col min="6" max="6" width="17.33203125" style="19" customWidth="1"/>
    <col min="7" max="16384" width="9.33203125" style="19"/>
  </cols>
  <sheetData>
    <row r="1" spans="1:6" ht="91.5" customHeight="1" x14ac:dyDescent="0.2">
      <c r="C1" s="63" t="s">
        <v>289</v>
      </c>
      <c r="D1" s="63"/>
      <c r="E1" s="63"/>
      <c r="F1" s="63"/>
    </row>
    <row r="2" spans="1:6" ht="74.25" customHeight="1" x14ac:dyDescent="0.2">
      <c r="A2" s="61" t="s">
        <v>286</v>
      </c>
      <c r="B2" s="62"/>
      <c r="C2" s="62"/>
      <c r="D2" s="62"/>
      <c r="E2" s="62"/>
      <c r="F2" s="62"/>
    </row>
    <row r="3" spans="1:6" ht="30" customHeight="1" x14ac:dyDescent="0.2">
      <c r="A3" s="59" t="s">
        <v>285</v>
      </c>
      <c r="B3" s="60"/>
      <c r="C3" s="60"/>
      <c r="D3" s="60"/>
      <c r="E3" s="60"/>
      <c r="F3" s="60"/>
    </row>
    <row r="4" spans="1:6" ht="69" customHeight="1" x14ac:dyDescent="0.2">
      <c r="A4" s="9" t="s">
        <v>72</v>
      </c>
      <c r="B4" s="10" t="s">
        <v>140</v>
      </c>
      <c r="C4" s="10" t="s">
        <v>59</v>
      </c>
      <c r="D4" s="11" t="s">
        <v>60</v>
      </c>
      <c r="E4" s="11" t="s">
        <v>61</v>
      </c>
      <c r="F4" s="11" t="s">
        <v>56</v>
      </c>
    </row>
    <row r="5" spans="1:6" ht="14.85" customHeight="1" x14ac:dyDescent="0.2">
      <c r="A5" s="20">
        <v>1</v>
      </c>
      <c r="B5" s="21">
        <v>2</v>
      </c>
      <c r="C5" s="20">
        <v>3</v>
      </c>
      <c r="D5" s="20">
        <v>4</v>
      </c>
      <c r="E5" s="22">
        <v>5</v>
      </c>
      <c r="F5" s="23">
        <v>6</v>
      </c>
    </row>
    <row r="6" spans="1:6" ht="44.25" customHeight="1" x14ac:dyDescent="0.2">
      <c r="A6" s="10" t="s">
        <v>230</v>
      </c>
      <c r="B6" s="10" t="s">
        <v>141</v>
      </c>
      <c r="C6" s="24" t="s">
        <v>231</v>
      </c>
      <c r="D6" s="24" t="s">
        <v>231</v>
      </c>
      <c r="E6" s="25" t="s">
        <v>231</v>
      </c>
      <c r="F6" s="23" t="s">
        <v>231</v>
      </c>
    </row>
    <row r="7" spans="1:6" ht="42.75" customHeight="1" x14ac:dyDescent="0.2">
      <c r="A7" s="15" t="s">
        <v>73</v>
      </c>
      <c r="B7" s="13">
        <v>887</v>
      </c>
      <c r="C7" s="26">
        <f>C8+C21</f>
        <v>10692.3</v>
      </c>
      <c r="D7" s="26">
        <f>D8+D21</f>
        <v>10529.416669999999</v>
      </c>
      <c r="E7" s="26">
        <f>C7-D7</f>
        <v>162.88333000000057</v>
      </c>
      <c r="F7" s="26">
        <f>(D7*100)/C7</f>
        <v>98.476629630668796</v>
      </c>
    </row>
    <row r="8" spans="1:6" ht="14.85" customHeight="1" x14ac:dyDescent="0.2">
      <c r="A8" s="15" t="s">
        <v>76</v>
      </c>
      <c r="B8" s="13" t="s">
        <v>134</v>
      </c>
      <c r="C8" s="26">
        <f>C9+C12</f>
        <v>10564.3</v>
      </c>
      <c r="D8" s="26">
        <f>D9+D12</f>
        <v>10401.416669999999</v>
      </c>
      <c r="E8" s="26">
        <f>C8-D8</f>
        <v>162.88333000000057</v>
      </c>
      <c r="F8" s="26">
        <f>(D8*100)/C8</f>
        <v>98.458172051153412</v>
      </c>
    </row>
    <row r="9" spans="1:6" ht="43.5" customHeight="1" x14ac:dyDescent="0.2">
      <c r="A9" s="15" t="s">
        <v>77</v>
      </c>
      <c r="B9" s="13" t="s">
        <v>135</v>
      </c>
      <c r="C9" s="26">
        <f>1772400/1000</f>
        <v>1772.4</v>
      </c>
      <c r="D9" s="26">
        <f>1772037.18/1000</f>
        <v>1772.03718</v>
      </c>
      <c r="E9" s="26">
        <f t="shared" ref="E9:E23" si="0">C9-D9</f>
        <v>0.3628200000000561</v>
      </c>
      <c r="F9" s="26">
        <f t="shared" ref="F9:F23" si="1">(D9*100)/C9</f>
        <v>99.979529451591048</v>
      </c>
    </row>
    <row r="10" spans="1:6" ht="24" customHeight="1" x14ac:dyDescent="0.2">
      <c r="A10" s="15" t="s">
        <v>78</v>
      </c>
      <c r="B10" s="13" t="s">
        <v>136</v>
      </c>
      <c r="C10" s="26">
        <f>1772400/1000</f>
        <v>1772.4</v>
      </c>
      <c r="D10" s="26">
        <f>1772037.18/1000</f>
        <v>1772.03718</v>
      </c>
      <c r="E10" s="26">
        <f t="shared" si="0"/>
        <v>0.3628200000000561</v>
      </c>
      <c r="F10" s="26">
        <f t="shared" si="1"/>
        <v>99.979529451591048</v>
      </c>
    </row>
    <row r="11" spans="1:6" ht="67.5" customHeight="1" x14ac:dyDescent="0.2">
      <c r="A11" s="15" t="s">
        <v>79</v>
      </c>
      <c r="B11" s="13" t="s">
        <v>137</v>
      </c>
      <c r="C11" s="26">
        <f>1772400/1000</f>
        <v>1772.4</v>
      </c>
      <c r="D11" s="26">
        <f>1772037.18/1000</f>
        <v>1772.03718</v>
      </c>
      <c r="E11" s="26">
        <f t="shared" si="0"/>
        <v>0.3628200000000561</v>
      </c>
      <c r="F11" s="26">
        <f t="shared" si="1"/>
        <v>99.979529451591048</v>
      </c>
    </row>
    <row r="12" spans="1:6" ht="42.6" customHeight="1" x14ac:dyDescent="0.2">
      <c r="A12" s="15" t="s">
        <v>80</v>
      </c>
      <c r="B12" s="13" t="s">
        <v>138</v>
      </c>
      <c r="C12" s="26">
        <f>8791900/1000</f>
        <v>8791.9</v>
      </c>
      <c r="D12" s="26">
        <f>8629379.49/1000</f>
        <v>8629.3794899999994</v>
      </c>
      <c r="E12" s="26">
        <f t="shared" si="0"/>
        <v>162.52051000000029</v>
      </c>
      <c r="F12" s="26">
        <f t="shared" si="1"/>
        <v>98.151474539064353</v>
      </c>
    </row>
    <row r="13" spans="1:6" ht="24" customHeight="1" x14ac:dyDescent="0.2">
      <c r="A13" s="15" t="s">
        <v>81</v>
      </c>
      <c r="B13" s="13" t="s">
        <v>139</v>
      </c>
      <c r="C13" s="26">
        <f>1488900/1000</f>
        <v>1488.9</v>
      </c>
      <c r="D13" s="26">
        <f>1488836.69/1000</f>
        <v>1488.8366899999999</v>
      </c>
      <c r="E13" s="26">
        <f t="shared" si="0"/>
        <v>6.3310000000228683E-2</v>
      </c>
      <c r="F13" s="26">
        <f t="shared" si="1"/>
        <v>99.99574786755322</v>
      </c>
    </row>
    <row r="14" spans="1:6" ht="69.75" customHeight="1" x14ac:dyDescent="0.2">
      <c r="A14" s="15" t="s">
        <v>79</v>
      </c>
      <c r="B14" s="13" t="s">
        <v>142</v>
      </c>
      <c r="C14" s="26">
        <f>1488900/1000</f>
        <v>1488.9</v>
      </c>
      <c r="D14" s="26">
        <f>1488836.69/1000</f>
        <v>1488.8366899999999</v>
      </c>
      <c r="E14" s="26">
        <f t="shared" si="0"/>
        <v>6.3310000000228683E-2</v>
      </c>
      <c r="F14" s="26">
        <f t="shared" si="1"/>
        <v>99.99574786755322</v>
      </c>
    </row>
    <row r="15" spans="1:6" ht="33" customHeight="1" x14ac:dyDescent="0.2">
      <c r="A15" s="15" t="s">
        <v>82</v>
      </c>
      <c r="B15" s="13" t="s">
        <v>143</v>
      </c>
      <c r="C15" s="26">
        <f>316800/1000</f>
        <v>316.8</v>
      </c>
      <c r="D15" s="26">
        <f>312820/1000</f>
        <v>312.82</v>
      </c>
      <c r="E15" s="26">
        <f t="shared" si="0"/>
        <v>3.9800000000000182</v>
      </c>
      <c r="F15" s="26">
        <f t="shared" si="1"/>
        <v>98.743686868686865</v>
      </c>
    </row>
    <row r="16" spans="1:6" ht="69" customHeight="1" x14ac:dyDescent="0.2">
      <c r="A16" s="15" t="s">
        <v>79</v>
      </c>
      <c r="B16" s="13" t="s">
        <v>144</v>
      </c>
      <c r="C16" s="26">
        <f>316800/1000</f>
        <v>316.8</v>
      </c>
      <c r="D16" s="26">
        <f>312820/1000</f>
        <v>312.82</v>
      </c>
      <c r="E16" s="26">
        <f t="shared" si="0"/>
        <v>3.9800000000000182</v>
      </c>
      <c r="F16" s="26">
        <f t="shared" si="1"/>
        <v>98.743686868686865</v>
      </c>
    </row>
    <row r="17" spans="1:6" ht="30.75" customHeight="1" x14ac:dyDescent="0.2">
      <c r="A17" s="15" t="s">
        <v>83</v>
      </c>
      <c r="B17" s="13" t="s">
        <v>145</v>
      </c>
      <c r="C17" s="26">
        <f>6986200/1000</f>
        <v>6986.2</v>
      </c>
      <c r="D17" s="26">
        <f>6827722.8/1000</f>
        <v>6827.7227999999996</v>
      </c>
      <c r="E17" s="26">
        <f t="shared" si="0"/>
        <v>158.47720000000027</v>
      </c>
      <c r="F17" s="26">
        <f t="shared" si="1"/>
        <v>97.731567948240809</v>
      </c>
    </row>
    <row r="18" spans="1:6" ht="69" customHeight="1" x14ac:dyDescent="0.2">
      <c r="A18" s="15" t="s">
        <v>146</v>
      </c>
      <c r="B18" s="13" t="s">
        <v>147</v>
      </c>
      <c r="C18" s="26">
        <f>5246200/1000</f>
        <v>5246.2</v>
      </c>
      <c r="D18" s="26">
        <f>5245286.07/1000</f>
        <v>5245.2860700000001</v>
      </c>
      <c r="E18" s="26">
        <f t="shared" si="0"/>
        <v>0.91392999999970925</v>
      </c>
      <c r="F18" s="26">
        <f t="shared" si="1"/>
        <v>99.982579200182983</v>
      </c>
    </row>
    <row r="19" spans="1:6" ht="33.200000000000003" customHeight="1" x14ac:dyDescent="0.2">
      <c r="A19" s="15" t="s">
        <v>84</v>
      </c>
      <c r="B19" s="13" t="s">
        <v>148</v>
      </c>
      <c r="C19" s="26">
        <f>1730000/1000</f>
        <v>1730</v>
      </c>
      <c r="D19" s="26">
        <f>1578263.24/1000</f>
        <v>1578.26324</v>
      </c>
      <c r="E19" s="26">
        <f t="shared" si="0"/>
        <v>151.73676</v>
      </c>
      <c r="F19" s="26">
        <f t="shared" si="1"/>
        <v>91.229089017341039</v>
      </c>
    </row>
    <row r="20" spans="1:6" ht="14.85" customHeight="1" x14ac:dyDescent="0.2">
      <c r="A20" s="15" t="s">
        <v>85</v>
      </c>
      <c r="B20" s="13" t="s">
        <v>149</v>
      </c>
      <c r="C20" s="26">
        <f>10000/1000</f>
        <v>10</v>
      </c>
      <c r="D20" s="26">
        <f>4173.49/1000</f>
        <v>4.1734900000000001</v>
      </c>
      <c r="E20" s="26">
        <f t="shared" si="0"/>
        <v>5.8265099999999999</v>
      </c>
      <c r="F20" s="26">
        <f t="shared" si="1"/>
        <v>41.734899999999996</v>
      </c>
    </row>
    <row r="21" spans="1:6" ht="14.85" customHeight="1" x14ac:dyDescent="0.2">
      <c r="A21" s="15" t="s">
        <v>92</v>
      </c>
      <c r="B21" s="13" t="s">
        <v>151</v>
      </c>
      <c r="C21" s="26">
        <v>128</v>
      </c>
      <c r="D21" s="26">
        <f>D22</f>
        <v>128</v>
      </c>
      <c r="E21" s="26">
        <f t="shared" si="0"/>
        <v>0</v>
      </c>
      <c r="F21" s="26">
        <f t="shared" si="1"/>
        <v>100</v>
      </c>
    </row>
    <row r="22" spans="1:6" ht="56.25" customHeight="1" x14ac:dyDescent="0.2">
      <c r="A22" s="15" t="s">
        <v>95</v>
      </c>
      <c r="B22" s="13" t="s">
        <v>152</v>
      </c>
      <c r="C22" s="26">
        <f>128000/1000</f>
        <v>128</v>
      </c>
      <c r="D22" s="26">
        <f>128000/1000</f>
        <v>128</v>
      </c>
      <c r="E22" s="26">
        <f t="shared" si="0"/>
        <v>0</v>
      </c>
      <c r="F22" s="26">
        <f t="shared" si="1"/>
        <v>100</v>
      </c>
    </row>
    <row r="23" spans="1:6" ht="14.85" customHeight="1" x14ac:dyDescent="0.2">
      <c r="A23" s="15" t="s">
        <v>85</v>
      </c>
      <c r="B23" s="13" t="s">
        <v>150</v>
      </c>
      <c r="C23" s="26">
        <f>128000/1000</f>
        <v>128</v>
      </c>
      <c r="D23" s="26">
        <f>128000/1000</f>
        <v>128</v>
      </c>
      <c r="E23" s="26">
        <f t="shared" si="0"/>
        <v>0</v>
      </c>
      <c r="F23" s="26">
        <f t="shared" si="1"/>
        <v>100</v>
      </c>
    </row>
    <row r="24" spans="1:6" ht="39" customHeight="1" x14ac:dyDescent="0.2">
      <c r="A24" s="15" t="s">
        <v>74</v>
      </c>
      <c r="B24" s="13">
        <v>973</v>
      </c>
      <c r="C24" s="26">
        <f>C25+C35+C38+C43+C47+C51+C60+C75+C81+C93+C97</f>
        <v>104051.49999999999</v>
      </c>
      <c r="D24" s="26">
        <f>D25+D35+D38+D43+D47+D51+D60+D75+D81+D93+D97</f>
        <v>103053.11651999998</v>
      </c>
      <c r="E24" s="26">
        <f>C24-D24</f>
        <v>998.38348000000406</v>
      </c>
      <c r="F24" s="26">
        <f>(D24*100)/C24</f>
        <v>99.040491026078442</v>
      </c>
    </row>
    <row r="25" spans="1:6" ht="51.6" customHeight="1" x14ac:dyDescent="0.2">
      <c r="A25" s="15" t="s">
        <v>86</v>
      </c>
      <c r="B25" s="13" t="s">
        <v>153</v>
      </c>
      <c r="C25" s="26">
        <f>25989400/1000</f>
        <v>25989.4</v>
      </c>
      <c r="D25" s="26">
        <f>25448619.7/1000</f>
        <v>25448.619699999999</v>
      </c>
      <c r="E25" s="27">
        <f>C25-D25</f>
        <v>540.78030000000217</v>
      </c>
      <c r="F25" s="26">
        <f>(D25*100)/C25</f>
        <v>97.919227454269802</v>
      </c>
    </row>
    <row r="26" spans="1:6" ht="42" customHeight="1" x14ac:dyDescent="0.2">
      <c r="A26" s="15" t="s">
        <v>87</v>
      </c>
      <c r="B26" s="13" t="s">
        <v>154</v>
      </c>
      <c r="C26" s="26">
        <f>1772400/1000</f>
        <v>1772.4</v>
      </c>
      <c r="D26" s="26">
        <f>1772400/1000</f>
        <v>1772.4</v>
      </c>
      <c r="E26" s="27">
        <f t="shared" ref="E26:E89" si="2">C26-D26</f>
        <v>0</v>
      </c>
      <c r="F26" s="26">
        <f t="shared" ref="F26:F89" si="3">(D26*100)/C26</f>
        <v>100</v>
      </c>
    </row>
    <row r="27" spans="1:6" ht="67.5" customHeight="1" x14ac:dyDescent="0.2">
      <c r="A27" s="15" t="s">
        <v>79</v>
      </c>
      <c r="B27" s="13" t="s">
        <v>155</v>
      </c>
      <c r="C27" s="26">
        <f>1772400/1000</f>
        <v>1772.4</v>
      </c>
      <c r="D27" s="26">
        <f>1772400/1000</f>
        <v>1772.4</v>
      </c>
      <c r="E27" s="27">
        <f t="shared" si="2"/>
        <v>0</v>
      </c>
      <c r="F27" s="26">
        <f t="shared" si="3"/>
        <v>100</v>
      </c>
    </row>
    <row r="28" spans="1:6" ht="29.25" customHeight="1" x14ac:dyDescent="0.2">
      <c r="A28" s="15" t="s">
        <v>88</v>
      </c>
      <c r="B28" s="13" t="s">
        <v>156</v>
      </c>
      <c r="C28" s="26">
        <f>20504700/1000</f>
        <v>20504.7</v>
      </c>
      <c r="D28" s="26">
        <f>19975996.87/1000</f>
        <v>19975.996870000003</v>
      </c>
      <c r="E28" s="27">
        <f t="shared" si="2"/>
        <v>528.70312999999805</v>
      </c>
      <c r="F28" s="26">
        <f t="shared" si="3"/>
        <v>97.421551497949267</v>
      </c>
    </row>
    <row r="29" spans="1:6" ht="65.25" customHeight="1" x14ac:dyDescent="0.2">
      <c r="A29" s="15" t="s">
        <v>79</v>
      </c>
      <c r="B29" s="13" t="s">
        <v>157</v>
      </c>
      <c r="C29" s="26">
        <f>16766900/1000</f>
        <v>16766.900000000001</v>
      </c>
      <c r="D29" s="26">
        <f>16738394.54/1000</f>
        <v>16738.394539999998</v>
      </c>
      <c r="E29" s="27">
        <f t="shared" si="2"/>
        <v>28.50546000000395</v>
      </c>
      <c r="F29" s="26">
        <f t="shared" si="3"/>
        <v>99.829989682052116</v>
      </c>
    </row>
    <row r="30" spans="1:6" ht="33" customHeight="1" x14ac:dyDescent="0.2">
      <c r="A30" s="15" t="s">
        <v>84</v>
      </c>
      <c r="B30" s="13" t="s">
        <v>158</v>
      </c>
      <c r="C30" s="26">
        <f>3715000/1000</f>
        <v>3715</v>
      </c>
      <c r="D30" s="26">
        <f>3218417.64/1000</f>
        <v>3218.4176400000001</v>
      </c>
      <c r="E30" s="27">
        <f t="shared" si="2"/>
        <v>496.58235999999988</v>
      </c>
      <c r="F30" s="26">
        <f t="shared" si="3"/>
        <v>86.633045491251693</v>
      </c>
    </row>
    <row r="31" spans="1:6" ht="14.85" customHeight="1" x14ac:dyDescent="0.2">
      <c r="A31" s="15" t="s">
        <v>85</v>
      </c>
      <c r="B31" s="13" t="s">
        <v>159</v>
      </c>
      <c r="C31" s="26">
        <f>22800/1000</f>
        <v>22.8</v>
      </c>
      <c r="D31" s="26">
        <f>19184.69/1000</f>
        <v>19.18469</v>
      </c>
      <c r="E31" s="27">
        <f t="shared" si="2"/>
        <v>3.6153100000000009</v>
      </c>
      <c r="F31" s="26">
        <f t="shared" si="3"/>
        <v>84.143377192982456</v>
      </c>
    </row>
    <row r="32" spans="1:6" ht="51.6" customHeight="1" x14ac:dyDescent="0.2">
      <c r="A32" s="15" t="s">
        <v>89</v>
      </c>
      <c r="B32" s="13" t="s">
        <v>160</v>
      </c>
      <c r="C32" s="26">
        <f>3712300/1000</f>
        <v>3712.3</v>
      </c>
      <c r="D32" s="26">
        <f>3700222.83/1000</f>
        <v>3700.2228300000002</v>
      </c>
      <c r="E32" s="27">
        <f t="shared" si="2"/>
        <v>12.077170000000024</v>
      </c>
      <c r="F32" s="26">
        <f t="shared" si="3"/>
        <v>99.674671497454398</v>
      </c>
    </row>
    <row r="33" spans="1:6" ht="69.75" customHeight="1" x14ac:dyDescent="0.2">
      <c r="A33" s="15" t="s">
        <v>79</v>
      </c>
      <c r="B33" s="13" t="s">
        <v>161</v>
      </c>
      <c r="C33" s="26">
        <f>3473800/1000</f>
        <v>3473.8</v>
      </c>
      <c r="D33" s="26">
        <f>3470378.89/1000</f>
        <v>3470.37889</v>
      </c>
      <c r="E33" s="27">
        <f t="shared" si="2"/>
        <v>3.4211100000002261</v>
      </c>
      <c r="F33" s="26">
        <f t="shared" si="3"/>
        <v>99.901516782773896</v>
      </c>
    </row>
    <row r="34" spans="1:6" ht="33.200000000000003" customHeight="1" x14ac:dyDescent="0.2">
      <c r="A34" s="15" t="s">
        <v>84</v>
      </c>
      <c r="B34" s="13" t="s">
        <v>162</v>
      </c>
      <c r="C34" s="26">
        <f>238500/1000</f>
        <v>238.5</v>
      </c>
      <c r="D34" s="26">
        <f>229843.94/1000</f>
        <v>229.84394</v>
      </c>
      <c r="E34" s="27">
        <f t="shared" si="2"/>
        <v>8.6560599999999965</v>
      </c>
      <c r="F34" s="26">
        <f t="shared" si="3"/>
        <v>96.370624737945491</v>
      </c>
    </row>
    <row r="35" spans="1:6" ht="14.85" customHeight="1" x14ac:dyDescent="0.2">
      <c r="A35" s="15" t="s">
        <v>90</v>
      </c>
      <c r="B35" s="13" t="s">
        <v>163</v>
      </c>
      <c r="C35" s="26">
        <f>200000/1000</f>
        <v>200</v>
      </c>
      <c r="D35" s="26">
        <v>0</v>
      </c>
      <c r="E35" s="27">
        <f t="shared" si="2"/>
        <v>200</v>
      </c>
      <c r="F35" s="26">
        <f t="shared" si="3"/>
        <v>0</v>
      </c>
    </row>
    <row r="36" spans="1:6" ht="26.25" customHeight="1" x14ac:dyDescent="0.2">
      <c r="A36" s="15" t="s">
        <v>91</v>
      </c>
      <c r="B36" s="13" t="s">
        <v>164</v>
      </c>
      <c r="C36" s="26">
        <f>200000/1000</f>
        <v>200</v>
      </c>
      <c r="D36" s="26">
        <v>0</v>
      </c>
      <c r="E36" s="27">
        <f t="shared" si="2"/>
        <v>200</v>
      </c>
      <c r="F36" s="26">
        <f t="shared" si="3"/>
        <v>0</v>
      </c>
    </row>
    <row r="37" spans="1:6" ht="14.85" customHeight="1" x14ac:dyDescent="0.2">
      <c r="A37" s="15" t="s">
        <v>85</v>
      </c>
      <c r="B37" s="13" t="s">
        <v>165</v>
      </c>
      <c r="C37" s="26">
        <f>200000/1000</f>
        <v>200</v>
      </c>
      <c r="D37" s="26">
        <v>0</v>
      </c>
      <c r="E37" s="27">
        <f t="shared" si="2"/>
        <v>200</v>
      </c>
      <c r="F37" s="26">
        <f t="shared" si="3"/>
        <v>0</v>
      </c>
    </row>
    <row r="38" spans="1:6" ht="14.85" customHeight="1" x14ac:dyDescent="0.2">
      <c r="A38" s="15" t="s">
        <v>92</v>
      </c>
      <c r="B38" s="13" t="s">
        <v>166</v>
      </c>
      <c r="C38" s="26">
        <f>C39+C41</f>
        <v>107.8</v>
      </c>
      <c r="D38" s="26">
        <f t="shared" ref="D38" si="4">D39+D41</f>
        <v>107.8</v>
      </c>
      <c r="E38" s="27">
        <f t="shared" si="2"/>
        <v>0</v>
      </c>
      <c r="F38" s="26">
        <f t="shared" si="3"/>
        <v>100</v>
      </c>
    </row>
    <row r="39" spans="1:6" ht="24" customHeight="1" x14ac:dyDescent="0.2">
      <c r="A39" s="15" t="s">
        <v>93</v>
      </c>
      <c r="B39" s="13" t="s">
        <v>167</v>
      </c>
      <c r="C39" s="26">
        <f>99000/1000</f>
        <v>99</v>
      </c>
      <c r="D39" s="26">
        <f>99000/1000</f>
        <v>99</v>
      </c>
      <c r="E39" s="27">
        <f t="shared" si="2"/>
        <v>0</v>
      </c>
      <c r="F39" s="26">
        <f t="shared" si="3"/>
        <v>100</v>
      </c>
    </row>
    <row r="40" spans="1:6" ht="33.200000000000003" customHeight="1" x14ac:dyDescent="0.2">
      <c r="A40" s="15" t="s">
        <v>84</v>
      </c>
      <c r="B40" s="13" t="s">
        <v>168</v>
      </c>
      <c r="C40" s="26">
        <f>99000/1000</f>
        <v>99</v>
      </c>
      <c r="D40" s="26">
        <f>99000/1000</f>
        <v>99</v>
      </c>
      <c r="E40" s="27">
        <f t="shared" si="2"/>
        <v>0</v>
      </c>
      <c r="F40" s="26">
        <f t="shared" si="3"/>
        <v>100</v>
      </c>
    </row>
    <row r="41" spans="1:6" ht="42.6" customHeight="1" x14ac:dyDescent="0.2">
      <c r="A41" s="15" t="s">
        <v>94</v>
      </c>
      <c r="B41" s="13" t="s">
        <v>169</v>
      </c>
      <c r="C41" s="26">
        <f>8800/1000</f>
        <v>8.8000000000000007</v>
      </c>
      <c r="D41" s="26">
        <f>8800/1000</f>
        <v>8.8000000000000007</v>
      </c>
      <c r="E41" s="27">
        <f t="shared" si="2"/>
        <v>0</v>
      </c>
      <c r="F41" s="26">
        <f t="shared" si="3"/>
        <v>100</v>
      </c>
    </row>
    <row r="42" spans="1:6" ht="33" customHeight="1" x14ac:dyDescent="0.2">
      <c r="A42" s="15" t="s">
        <v>84</v>
      </c>
      <c r="B42" s="13" t="s">
        <v>170</v>
      </c>
      <c r="C42" s="26">
        <f>8800/1000</f>
        <v>8.8000000000000007</v>
      </c>
      <c r="D42" s="26">
        <f>8800/1000</f>
        <v>8.8000000000000007</v>
      </c>
      <c r="E42" s="27">
        <f t="shared" si="2"/>
        <v>0</v>
      </c>
      <c r="F42" s="26">
        <f t="shared" si="3"/>
        <v>100</v>
      </c>
    </row>
    <row r="43" spans="1:6" ht="28.5" customHeight="1" x14ac:dyDescent="0.2">
      <c r="A43" s="15" t="s">
        <v>96</v>
      </c>
      <c r="B43" s="13" t="s">
        <v>171</v>
      </c>
      <c r="C43" s="26">
        <f t="shared" ref="C43:D46" si="5">60000/1000</f>
        <v>60</v>
      </c>
      <c r="D43" s="26">
        <f t="shared" si="5"/>
        <v>60</v>
      </c>
      <c r="E43" s="27">
        <f t="shared" si="2"/>
        <v>0</v>
      </c>
      <c r="F43" s="26">
        <f t="shared" si="3"/>
        <v>100</v>
      </c>
    </row>
    <row r="44" spans="1:6" ht="42" customHeight="1" x14ac:dyDescent="0.2">
      <c r="A44" s="15" t="s">
        <v>97</v>
      </c>
      <c r="B44" s="13" t="s">
        <v>172</v>
      </c>
      <c r="C44" s="26">
        <f t="shared" si="5"/>
        <v>60</v>
      </c>
      <c r="D44" s="26">
        <f t="shared" si="5"/>
        <v>60</v>
      </c>
      <c r="E44" s="27">
        <f t="shared" si="2"/>
        <v>0</v>
      </c>
      <c r="F44" s="26">
        <f t="shared" si="3"/>
        <v>100</v>
      </c>
    </row>
    <row r="45" spans="1:6" ht="43.5" customHeight="1" x14ac:dyDescent="0.2">
      <c r="A45" s="15" t="s">
        <v>98</v>
      </c>
      <c r="B45" s="13" t="s">
        <v>173</v>
      </c>
      <c r="C45" s="26">
        <f t="shared" si="5"/>
        <v>60</v>
      </c>
      <c r="D45" s="26">
        <f t="shared" si="5"/>
        <v>60</v>
      </c>
      <c r="E45" s="27">
        <f t="shared" si="2"/>
        <v>0</v>
      </c>
      <c r="F45" s="26">
        <f t="shared" si="3"/>
        <v>100</v>
      </c>
    </row>
    <row r="46" spans="1:6" ht="33" customHeight="1" x14ac:dyDescent="0.2">
      <c r="A46" s="15" t="s">
        <v>84</v>
      </c>
      <c r="B46" s="13" t="s">
        <v>174</v>
      </c>
      <c r="C46" s="26">
        <f t="shared" si="5"/>
        <v>60</v>
      </c>
      <c r="D46" s="26">
        <f t="shared" si="5"/>
        <v>60</v>
      </c>
      <c r="E46" s="27">
        <f t="shared" si="2"/>
        <v>0</v>
      </c>
      <c r="F46" s="26">
        <f t="shared" si="3"/>
        <v>100</v>
      </c>
    </row>
    <row r="47" spans="1:6" ht="14.85" customHeight="1" x14ac:dyDescent="0.2">
      <c r="A47" s="15" t="s">
        <v>99</v>
      </c>
      <c r="B47" s="13" t="s">
        <v>175</v>
      </c>
      <c r="C47" s="26">
        <f>311000/1000</f>
        <v>311</v>
      </c>
      <c r="D47" s="26">
        <f>310934.68/1000</f>
        <v>310.93468000000001</v>
      </c>
      <c r="E47" s="27">
        <f t="shared" si="2"/>
        <v>6.5319999999985612E-2</v>
      </c>
      <c r="F47" s="26">
        <f t="shared" si="3"/>
        <v>99.978996784565922</v>
      </c>
    </row>
    <row r="48" spans="1:6" ht="14.85" customHeight="1" x14ac:dyDescent="0.2">
      <c r="A48" s="15" t="s">
        <v>100</v>
      </c>
      <c r="B48" s="13" t="s">
        <v>176</v>
      </c>
      <c r="C48" s="26">
        <f>311000/1000</f>
        <v>311</v>
      </c>
      <c r="D48" s="26">
        <f>310934.68/1000</f>
        <v>310.93468000000001</v>
      </c>
      <c r="E48" s="27">
        <f t="shared" si="2"/>
        <v>6.5319999999985612E-2</v>
      </c>
      <c r="F48" s="26">
        <f t="shared" si="3"/>
        <v>99.978996784565922</v>
      </c>
    </row>
    <row r="49" spans="1:6" ht="78" customHeight="1" x14ac:dyDescent="0.2">
      <c r="A49" s="15" t="s">
        <v>101</v>
      </c>
      <c r="B49" s="13" t="s">
        <v>177</v>
      </c>
      <c r="C49" s="26">
        <f>311000/1000</f>
        <v>311</v>
      </c>
      <c r="D49" s="26">
        <f>310934.68/1000</f>
        <v>310.93468000000001</v>
      </c>
      <c r="E49" s="27">
        <f t="shared" si="2"/>
        <v>6.5319999999985612E-2</v>
      </c>
      <c r="F49" s="26">
        <f t="shared" si="3"/>
        <v>99.978996784565922</v>
      </c>
    </row>
    <row r="50" spans="1:6" ht="33.200000000000003" customHeight="1" x14ac:dyDescent="0.2">
      <c r="A50" s="15" t="s">
        <v>84</v>
      </c>
      <c r="B50" s="13" t="s">
        <v>178</v>
      </c>
      <c r="C50" s="26">
        <f>311000/1000</f>
        <v>311</v>
      </c>
      <c r="D50" s="26">
        <f>310934.68/1000</f>
        <v>310.93468000000001</v>
      </c>
      <c r="E50" s="27">
        <f t="shared" si="2"/>
        <v>6.5319999999985612E-2</v>
      </c>
      <c r="F50" s="26">
        <f t="shared" si="3"/>
        <v>99.978996784565922</v>
      </c>
    </row>
    <row r="51" spans="1:6" ht="14.85" customHeight="1" x14ac:dyDescent="0.2">
      <c r="A51" s="15" t="s">
        <v>102</v>
      </c>
      <c r="B51" s="13" t="s">
        <v>179</v>
      </c>
      <c r="C51" s="26">
        <f>46326000/1000</f>
        <v>46326</v>
      </c>
      <c r="D51" s="26">
        <f>46285515.94/1000</f>
        <v>46285.515939999997</v>
      </c>
      <c r="E51" s="27">
        <f t="shared" si="2"/>
        <v>40.484060000002501</v>
      </c>
      <c r="F51" s="26">
        <f t="shared" si="3"/>
        <v>99.912610499503515</v>
      </c>
    </row>
    <row r="52" spans="1:6" ht="14.85" customHeight="1" x14ac:dyDescent="0.2">
      <c r="A52" s="15" t="s">
        <v>103</v>
      </c>
      <c r="B52" s="13" t="s">
        <v>180</v>
      </c>
      <c r="C52" s="26">
        <f>46326000/1000</f>
        <v>46326</v>
      </c>
      <c r="D52" s="26">
        <f>46285515.94/1000</f>
        <v>46285.515939999997</v>
      </c>
      <c r="E52" s="27">
        <f t="shared" si="2"/>
        <v>40.484060000002501</v>
      </c>
      <c r="F52" s="26">
        <f t="shared" si="3"/>
        <v>99.912610499503515</v>
      </c>
    </row>
    <row r="53" spans="1:6" ht="14.85" customHeight="1" x14ac:dyDescent="0.2">
      <c r="A53" s="15" t="s">
        <v>104</v>
      </c>
      <c r="B53" s="13" t="s">
        <v>181</v>
      </c>
      <c r="C53" s="26">
        <f>28766600/1000</f>
        <v>28766.6</v>
      </c>
      <c r="D53" s="26">
        <f>28744095.06/1000</f>
        <v>28744.09506</v>
      </c>
      <c r="E53" s="27">
        <f t="shared" si="2"/>
        <v>22.504939999998896</v>
      </c>
      <c r="F53" s="26">
        <f t="shared" si="3"/>
        <v>99.921767118811402</v>
      </c>
    </row>
    <row r="54" spans="1:6" ht="33.200000000000003" customHeight="1" x14ac:dyDescent="0.2">
      <c r="A54" s="15" t="s">
        <v>132</v>
      </c>
      <c r="B54" s="13" t="s">
        <v>182</v>
      </c>
      <c r="C54" s="26">
        <f>26552400/1000</f>
        <v>26552.400000000001</v>
      </c>
      <c r="D54" s="26">
        <f>26529976.98/1000</f>
        <v>26529.976979999999</v>
      </c>
      <c r="E54" s="27">
        <f t="shared" si="2"/>
        <v>22.423020000001998</v>
      </c>
      <c r="F54" s="26">
        <f t="shared" si="3"/>
        <v>99.91555181452523</v>
      </c>
    </row>
    <row r="55" spans="1:6" ht="14.85" customHeight="1" x14ac:dyDescent="0.2">
      <c r="A55" s="15" t="s">
        <v>85</v>
      </c>
      <c r="B55" s="13" t="s">
        <v>183</v>
      </c>
      <c r="C55" s="26">
        <f>2214200/1000</f>
        <v>2214.1999999999998</v>
      </c>
      <c r="D55" s="26">
        <f>2214118.08/1000</f>
        <v>2214.1180800000002</v>
      </c>
      <c r="E55" s="27">
        <f t="shared" si="2"/>
        <v>8.191999999962718E-2</v>
      </c>
      <c r="F55" s="26">
        <f t="shared" si="3"/>
        <v>99.996300243880427</v>
      </c>
    </row>
    <row r="56" spans="1:6" ht="42.6" customHeight="1" x14ac:dyDescent="0.2">
      <c r="A56" s="15" t="s">
        <v>105</v>
      </c>
      <c r="B56" s="13" t="s">
        <v>184</v>
      </c>
      <c r="C56" s="26">
        <f>5446200/1000</f>
        <v>5446.2</v>
      </c>
      <c r="D56" s="26">
        <f>5445020.4/1000</f>
        <v>5445.0204000000003</v>
      </c>
      <c r="E56" s="27">
        <f t="shared" si="2"/>
        <v>1.179599999999482</v>
      </c>
      <c r="F56" s="26">
        <f t="shared" si="3"/>
        <v>99.978340861518134</v>
      </c>
    </row>
    <row r="57" spans="1:6" ht="33" customHeight="1" x14ac:dyDescent="0.2">
      <c r="A57" s="15" t="s">
        <v>84</v>
      </c>
      <c r="B57" s="13" t="s">
        <v>185</v>
      </c>
      <c r="C57" s="26">
        <f>5446200/1000</f>
        <v>5446.2</v>
      </c>
      <c r="D57" s="26">
        <f>5445020.4/1000</f>
        <v>5445.0204000000003</v>
      </c>
      <c r="E57" s="27">
        <f t="shared" si="2"/>
        <v>1.179599999999482</v>
      </c>
      <c r="F57" s="26">
        <f t="shared" si="3"/>
        <v>99.978340861518134</v>
      </c>
    </row>
    <row r="58" spans="1:6" ht="24" customHeight="1" x14ac:dyDescent="0.2">
      <c r="A58" s="15" t="s">
        <v>106</v>
      </c>
      <c r="B58" s="13" t="s">
        <v>186</v>
      </c>
      <c r="C58" s="26">
        <f>12113200/1000</f>
        <v>12113.2</v>
      </c>
      <c r="D58" s="26">
        <f>12096400.48/1000</f>
        <v>12096.40048</v>
      </c>
      <c r="E58" s="27">
        <f t="shared" si="2"/>
        <v>16.799520000000484</v>
      </c>
      <c r="F58" s="26">
        <f t="shared" si="3"/>
        <v>99.861312287421981</v>
      </c>
    </row>
    <row r="59" spans="1:6" ht="33" customHeight="1" x14ac:dyDescent="0.2">
      <c r="A59" s="15" t="s">
        <v>84</v>
      </c>
      <c r="B59" s="13" t="s">
        <v>187</v>
      </c>
      <c r="C59" s="26">
        <f>12113200/1000</f>
        <v>12113.2</v>
      </c>
      <c r="D59" s="26">
        <f>12096400.48/1000</f>
        <v>12096.40048</v>
      </c>
      <c r="E59" s="27">
        <f t="shared" si="2"/>
        <v>16.799520000000484</v>
      </c>
      <c r="F59" s="26">
        <f t="shared" si="3"/>
        <v>99.861312287421981</v>
      </c>
    </row>
    <row r="60" spans="1:6" ht="14.85" customHeight="1" x14ac:dyDescent="0.2">
      <c r="A60" s="15" t="s">
        <v>107</v>
      </c>
      <c r="B60" s="13" t="s">
        <v>188</v>
      </c>
      <c r="C60" s="26">
        <f>999500/1000</f>
        <v>999.5</v>
      </c>
      <c r="D60" s="26">
        <f>978500/1000</f>
        <v>978.5</v>
      </c>
      <c r="E60" s="27">
        <f t="shared" si="2"/>
        <v>21</v>
      </c>
      <c r="F60" s="26">
        <f t="shared" si="3"/>
        <v>97.898949474737364</v>
      </c>
    </row>
    <row r="61" spans="1:6" ht="32.25" customHeight="1" x14ac:dyDescent="0.2">
      <c r="A61" s="15" t="s">
        <v>108</v>
      </c>
      <c r="B61" s="13" t="s">
        <v>189</v>
      </c>
      <c r="C61" s="26">
        <f>150000/1000</f>
        <v>150</v>
      </c>
      <c r="D61" s="26">
        <f>129000/1000</f>
        <v>129</v>
      </c>
      <c r="E61" s="27">
        <f t="shared" si="2"/>
        <v>21</v>
      </c>
      <c r="F61" s="26">
        <f t="shared" si="3"/>
        <v>86</v>
      </c>
    </row>
    <row r="62" spans="1:6" ht="27.75" customHeight="1" x14ac:dyDescent="0.2">
      <c r="A62" s="15" t="s">
        <v>108</v>
      </c>
      <c r="B62" s="13" t="s">
        <v>190</v>
      </c>
      <c r="C62" s="26">
        <f>150000/1000</f>
        <v>150</v>
      </c>
      <c r="D62" s="26">
        <f>129000/1000</f>
        <v>129</v>
      </c>
      <c r="E62" s="27">
        <f t="shared" si="2"/>
        <v>21</v>
      </c>
      <c r="F62" s="26">
        <f t="shared" si="3"/>
        <v>86</v>
      </c>
    </row>
    <row r="63" spans="1:6" ht="33" customHeight="1" x14ac:dyDescent="0.2">
      <c r="A63" s="15" t="s">
        <v>84</v>
      </c>
      <c r="B63" s="13" t="s">
        <v>191</v>
      </c>
      <c r="C63" s="26">
        <f>150000/1000</f>
        <v>150</v>
      </c>
      <c r="D63" s="26">
        <v>129</v>
      </c>
      <c r="E63" s="27">
        <f t="shared" si="2"/>
        <v>21</v>
      </c>
      <c r="F63" s="26">
        <f t="shared" si="3"/>
        <v>86</v>
      </c>
    </row>
    <row r="64" spans="1:6" ht="14.85" customHeight="1" x14ac:dyDescent="0.2">
      <c r="A64" s="15" t="s">
        <v>109</v>
      </c>
      <c r="B64" s="13" t="s">
        <v>192</v>
      </c>
      <c r="C64" s="26">
        <f>849500/1000</f>
        <v>849.5</v>
      </c>
      <c r="D64" s="26">
        <f>849500/1000</f>
        <v>849.5</v>
      </c>
      <c r="E64" s="27">
        <f t="shared" si="2"/>
        <v>0</v>
      </c>
      <c r="F64" s="26">
        <f t="shared" si="3"/>
        <v>100</v>
      </c>
    </row>
    <row r="65" spans="1:6" ht="44.25" customHeight="1" x14ac:dyDescent="0.2">
      <c r="A65" s="15" t="s">
        <v>110</v>
      </c>
      <c r="B65" s="13" t="s">
        <v>193</v>
      </c>
      <c r="C65" s="26">
        <f>434000/1000</f>
        <v>434</v>
      </c>
      <c r="D65" s="26">
        <v>434</v>
      </c>
      <c r="E65" s="27">
        <f t="shared" si="2"/>
        <v>0</v>
      </c>
      <c r="F65" s="26">
        <f t="shared" si="3"/>
        <v>100</v>
      </c>
    </row>
    <row r="66" spans="1:6" ht="33" customHeight="1" x14ac:dyDescent="0.2">
      <c r="A66" s="15" t="s">
        <v>84</v>
      </c>
      <c r="B66" s="13" t="s">
        <v>194</v>
      </c>
      <c r="C66" s="26">
        <f>434000/1000</f>
        <v>434</v>
      </c>
      <c r="D66" s="26">
        <v>434</v>
      </c>
      <c r="E66" s="27">
        <f t="shared" si="2"/>
        <v>0</v>
      </c>
      <c r="F66" s="26">
        <f t="shared" si="3"/>
        <v>100</v>
      </c>
    </row>
    <row r="67" spans="1:6" ht="42.2" customHeight="1" x14ac:dyDescent="0.2">
      <c r="A67" s="15" t="s">
        <v>111</v>
      </c>
      <c r="B67" s="13" t="s">
        <v>195</v>
      </c>
      <c r="C67" s="26">
        <f>173500/1000</f>
        <v>173.5</v>
      </c>
      <c r="D67" s="26">
        <v>173.5</v>
      </c>
      <c r="E67" s="27">
        <f t="shared" si="2"/>
        <v>0</v>
      </c>
      <c r="F67" s="26">
        <f t="shared" si="3"/>
        <v>100</v>
      </c>
    </row>
    <row r="68" spans="1:6" ht="33.200000000000003" customHeight="1" x14ac:dyDescent="0.2">
      <c r="A68" s="15" t="s">
        <v>84</v>
      </c>
      <c r="B68" s="13" t="s">
        <v>196</v>
      </c>
      <c r="C68" s="26">
        <f>173500/1000</f>
        <v>173.5</v>
      </c>
      <c r="D68" s="26">
        <v>173.5</v>
      </c>
      <c r="E68" s="27">
        <f t="shared" si="2"/>
        <v>0</v>
      </c>
      <c r="F68" s="26">
        <f t="shared" si="3"/>
        <v>100</v>
      </c>
    </row>
    <row r="69" spans="1:6" ht="51.75" customHeight="1" x14ac:dyDescent="0.2">
      <c r="A69" s="15" t="s">
        <v>198</v>
      </c>
      <c r="B69" s="13" t="s">
        <v>197</v>
      </c>
      <c r="C69" s="26">
        <f>100000/1000</f>
        <v>100</v>
      </c>
      <c r="D69" s="26">
        <v>100</v>
      </c>
      <c r="E69" s="27">
        <f t="shared" si="2"/>
        <v>0</v>
      </c>
      <c r="F69" s="26">
        <f t="shared" si="3"/>
        <v>100</v>
      </c>
    </row>
    <row r="70" spans="1:6" ht="33" customHeight="1" x14ac:dyDescent="0.2">
      <c r="A70" s="15" t="s">
        <v>84</v>
      </c>
      <c r="B70" s="13" t="s">
        <v>199</v>
      </c>
      <c r="C70" s="26">
        <f>100000/1000</f>
        <v>100</v>
      </c>
      <c r="D70" s="26">
        <v>100</v>
      </c>
      <c r="E70" s="27">
        <f t="shared" si="2"/>
        <v>0</v>
      </c>
      <c r="F70" s="26">
        <f t="shared" si="3"/>
        <v>100</v>
      </c>
    </row>
    <row r="71" spans="1:6" ht="51.6" customHeight="1" x14ac:dyDescent="0.2">
      <c r="A71" s="15" t="s">
        <v>112</v>
      </c>
      <c r="B71" s="13" t="s">
        <v>200</v>
      </c>
      <c r="C71" s="26">
        <f>75000/1000</f>
        <v>75</v>
      </c>
      <c r="D71" s="26">
        <v>75</v>
      </c>
      <c r="E71" s="27">
        <f t="shared" si="2"/>
        <v>0</v>
      </c>
      <c r="F71" s="26">
        <f t="shared" si="3"/>
        <v>100</v>
      </c>
    </row>
    <row r="72" spans="1:6" ht="33" customHeight="1" x14ac:dyDescent="0.2">
      <c r="A72" s="15" t="s">
        <v>84</v>
      </c>
      <c r="B72" s="13" t="s">
        <v>201</v>
      </c>
      <c r="C72" s="26">
        <f>75000/1000</f>
        <v>75</v>
      </c>
      <c r="D72" s="26">
        <v>75</v>
      </c>
      <c r="E72" s="27">
        <f t="shared" si="2"/>
        <v>0</v>
      </c>
      <c r="F72" s="26">
        <f t="shared" si="3"/>
        <v>100</v>
      </c>
    </row>
    <row r="73" spans="1:6" ht="64.5" customHeight="1" x14ac:dyDescent="0.2">
      <c r="A73" s="15" t="s">
        <v>113</v>
      </c>
      <c r="B73" s="13" t="s">
        <v>202</v>
      </c>
      <c r="C73" s="26">
        <f>67000/1000</f>
        <v>67</v>
      </c>
      <c r="D73" s="26">
        <v>67</v>
      </c>
      <c r="E73" s="27">
        <f t="shared" si="2"/>
        <v>0</v>
      </c>
      <c r="F73" s="26">
        <f t="shared" si="3"/>
        <v>100</v>
      </c>
    </row>
    <row r="74" spans="1:6" ht="33.200000000000003" customHeight="1" x14ac:dyDescent="0.2">
      <c r="A74" s="15" t="s">
        <v>84</v>
      </c>
      <c r="B74" s="13" t="s">
        <v>203</v>
      </c>
      <c r="C74" s="26">
        <f>67000/1000</f>
        <v>67</v>
      </c>
      <c r="D74" s="26">
        <v>67</v>
      </c>
      <c r="E74" s="27">
        <f t="shared" si="2"/>
        <v>0</v>
      </c>
      <c r="F74" s="26">
        <f t="shared" si="3"/>
        <v>100</v>
      </c>
    </row>
    <row r="75" spans="1:6" ht="14.85" customHeight="1" x14ac:dyDescent="0.2">
      <c r="A75" s="15" t="s">
        <v>114</v>
      </c>
      <c r="B75" s="13" t="s">
        <v>204</v>
      </c>
      <c r="C75" s="26">
        <f>11572400/1000</f>
        <v>11572.4</v>
      </c>
      <c r="D75" s="26">
        <f>11564710.5/1000</f>
        <v>11564.710499999999</v>
      </c>
      <c r="E75" s="27">
        <f t="shared" si="2"/>
        <v>7.6895000000004075</v>
      </c>
      <c r="F75" s="26">
        <f t="shared" si="3"/>
        <v>99.933553109121689</v>
      </c>
    </row>
    <row r="76" spans="1:6" ht="14.85" customHeight="1" x14ac:dyDescent="0.2">
      <c r="A76" s="15" t="s">
        <v>115</v>
      </c>
      <c r="B76" s="13" t="s">
        <v>205</v>
      </c>
      <c r="C76" s="26">
        <f>11572400/1000</f>
        <v>11572.4</v>
      </c>
      <c r="D76" s="26">
        <f>11564710.5/1000</f>
        <v>11564.710499999999</v>
      </c>
      <c r="E76" s="27">
        <f t="shared" si="2"/>
        <v>7.6895000000004075</v>
      </c>
      <c r="F76" s="26">
        <f t="shared" si="3"/>
        <v>99.933553109121689</v>
      </c>
    </row>
    <row r="77" spans="1:6" ht="42.6" customHeight="1" x14ac:dyDescent="0.2">
      <c r="A77" s="15" t="s">
        <v>116</v>
      </c>
      <c r="B77" s="13" t="s">
        <v>206</v>
      </c>
      <c r="C77" s="26">
        <f>6967900/1000</f>
        <v>6967.9</v>
      </c>
      <c r="D77" s="26">
        <f>6960290.5/1000</f>
        <v>6960.2905000000001</v>
      </c>
      <c r="E77" s="27">
        <f t="shared" si="2"/>
        <v>7.6094999999995707</v>
      </c>
      <c r="F77" s="26">
        <f t="shared" si="3"/>
        <v>99.890792060735677</v>
      </c>
    </row>
    <row r="78" spans="1:6" ht="33" customHeight="1" x14ac:dyDescent="0.2">
      <c r="A78" s="15" t="s">
        <v>84</v>
      </c>
      <c r="B78" s="13" t="s">
        <v>207</v>
      </c>
      <c r="C78" s="26">
        <f>6967900/1000</f>
        <v>6967.9</v>
      </c>
      <c r="D78" s="26">
        <f>6960290.5/1000</f>
        <v>6960.2905000000001</v>
      </c>
      <c r="E78" s="27">
        <f t="shared" si="2"/>
        <v>7.6094999999995707</v>
      </c>
      <c r="F78" s="26">
        <f t="shared" si="3"/>
        <v>99.890792060735677</v>
      </c>
    </row>
    <row r="79" spans="1:6" ht="33.200000000000003" customHeight="1" x14ac:dyDescent="0.2">
      <c r="A79" s="15" t="s">
        <v>117</v>
      </c>
      <c r="B79" s="13" t="s">
        <v>208</v>
      </c>
      <c r="C79" s="26">
        <f>4604500/1000</f>
        <v>4604.5</v>
      </c>
      <c r="D79" s="26">
        <f>4604420/1000</f>
        <v>4604.42</v>
      </c>
      <c r="E79" s="27">
        <f t="shared" si="2"/>
        <v>7.999999999992724E-2</v>
      </c>
      <c r="F79" s="26">
        <f t="shared" si="3"/>
        <v>99.998262569225759</v>
      </c>
    </row>
    <row r="80" spans="1:6" ht="33" customHeight="1" x14ac:dyDescent="0.2">
      <c r="A80" s="15" t="s">
        <v>84</v>
      </c>
      <c r="B80" s="13" t="s">
        <v>209</v>
      </c>
      <c r="C80" s="26">
        <f>4604500/1000</f>
        <v>4604.5</v>
      </c>
      <c r="D80" s="26">
        <f>4604420/1000</f>
        <v>4604.42</v>
      </c>
      <c r="E80" s="27">
        <f t="shared" si="2"/>
        <v>7.999999999992724E-2</v>
      </c>
      <c r="F80" s="26">
        <f t="shared" si="3"/>
        <v>99.998262569225759</v>
      </c>
    </row>
    <row r="81" spans="1:6" ht="14.85" customHeight="1" x14ac:dyDescent="0.2">
      <c r="A81" s="15" t="s">
        <v>118</v>
      </c>
      <c r="B81" s="13" t="s">
        <v>210</v>
      </c>
      <c r="C81" s="26">
        <f>16837000/1000</f>
        <v>16837</v>
      </c>
      <c r="D81" s="26">
        <f>16648860.97/1000</f>
        <v>16648.860970000002</v>
      </c>
      <c r="E81" s="27">
        <f t="shared" si="2"/>
        <v>188.13902999999846</v>
      </c>
      <c r="F81" s="26">
        <f t="shared" si="3"/>
        <v>98.88258579319357</v>
      </c>
    </row>
    <row r="82" spans="1:6" ht="14.85" customHeight="1" x14ac:dyDescent="0.2">
      <c r="A82" s="15" t="s">
        <v>119</v>
      </c>
      <c r="B82" s="13" t="s">
        <v>211</v>
      </c>
      <c r="C82" s="26">
        <f>934000/1000</f>
        <v>934</v>
      </c>
      <c r="D82" s="26">
        <f>913901.76/1000</f>
        <v>913.90175999999997</v>
      </c>
      <c r="E82" s="27">
        <f t="shared" si="2"/>
        <v>20.098240000000033</v>
      </c>
      <c r="F82" s="26">
        <f t="shared" si="3"/>
        <v>97.84815417558886</v>
      </c>
    </row>
    <row r="83" spans="1:6" ht="51.6" customHeight="1" x14ac:dyDescent="0.2">
      <c r="A83" s="15" t="s">
        <v>120</v>
      </c>
      <c r="B83" s="13" t="s">
        <v>212</v>
      </c>
      <c r="C83" s="26">
        <v>934</v>
      </c>
      <c r="D83" s="26">
        <f>913901.76/1000</f>
        <v>913.90175999999997</v>
      </c>
      <c r="E83" s="27">
        <f t="shared" si="2"/>
        <v>20.098240000000033</v>
      </c>
      <c r="F83" s="26">
        <f t="shared" si="3"/>
        <v>97.84815417558886</v>
      </c>
    </row>
    <row r="84" spans="1:6" ht="24" customHeight="1" x14ac:dyDescent="0.2">
      <c r="A84" s="15" t="s">
        <v>121</v>
      </c>
      <c r="B84" s="13" t="s">
        <v>213</v>
      </c>
      <c r="C84" s="26">
        <v>934</v>
      </c>
      <c r="D84" s="26">
        <f>913901.76/1000</f>
        <v>913.90175999999997</v>
      </c>
      <c r="E84" s="27">
        <f t="shared" si="2"/>
        <v>20.098240000000033</v>
      </c>
      <c r="F84" s="26">
        <f t="shared" si="3"/>
        <v>97.84815417558886</v>
      </c>
    </row>
    <row r="85" spans="1:6" ht="14.85" customHeight="1" x14ac:dyDescent="0.2">
      <c r="A85" s="15" t="s">
        <v>122</v>
      </c>
      <c r="B85" s="13" t="s">
        <v>214</v>
      </c>
      <c r="C85" s="26">
        <v>616</v>
      </c>
      <c r="D85" s="26">
        <f>615889.68/1000</f>
        <v>615.88968</v>
      </c>
      <c r="E85" s="27">
        <f t="shared" si="2"/>
        <v>0.11032000000000153</v>
      </c>
      <c r="F85" s="26">
        <f t="shared" si="3"/>
        <v>99.982090909090914</v>
      </c>
    </row>
    <row r="86" spans="1:6" ht="33.200000000000003" customHeight="1" x14ac:dyDescent="0.2">
      <c r="A86" s="15" t="s">
        <v>123</v>
      </c>
      <c r="B86" s="13" t="s">
        <v>215</v>
      </c>
      <c r="C86" s="26">
        <v>616</v>
      </c>
      <c r="D86" s="26">
        <f>615889.68/1000</f>
        <v>615.88968</v>
      </c>
      <c r="E86" s="27">
        <f t="shared" si="2"/>
        <v>0.11032000000000153</v>
      </c>
      <c r="F86" s="26">
        <f t="shared" si="3"/>
        <v>99.982090909090914</v>
      </c>
    </row>
    <row r="87" spans="1:6" ht="24" customHeight="1" x14ac:dyDescent="0.2">
      <c r="A87" s="15" t="s">
        <v>121</v>
      </c>
      <c r="B87" s="13" t="s">
        <v>216</v>
      </c>
      <c r="C87" s="26">
        <v>616</v>
      </c>
      <c r="D87" s="26">
        <f>615889.68/1000</f>
        <v>615.88968</v>
      </c>
      <c r="E87" s="27">
        <f t="shared" si="2"/>
        <v>0.11032000000000153</v>
      </c>
      <c r="F87" s="26">
        <f t="shared" si="3"/>
        <v>99.982090909090914</v>
      </c>
    </row>
    <row r="88" spans="1:6" ht="14.85" customHeight="1" x14ac:dyDescent="0.2">
      <c r="A88" s="15" t="s">
        <v>124</v>
      </c>
      <c r="B88" s="13" t="s">
        <v>217</v>
      </c>
      <c r="C88" s="26">
        <f>15287000/1000</f>
        <v>15287</v>
      </c>
      <c r="D88" s="26">
        <f>15119069.53/1000</f>
        <v>15119.069529999999</v>
      </c>
      <c r="E88" s="27">
        <f t="shared" si="2"/>
        <v>167.93047000000115</v>
      </c>
      <c r="F88" s="26">
        <f t="shared" si="3"/>
        <v>98.90148184732125</v>
      </c>
    </row>
    <row r="89" spans="1:6" ht="51.6" customHeight="1" x14ac:dyDescent="0.2">
      <c r="A89" s="15" t="s">
        <v>125</v>
      </c>
      <c r="B89" s="13" t="s">
        <v>218</v>
      </c>
      <c r="C89" s="26">
        <f>10301600/1000</f>
        <v>10301.6</v>
      </c>
      <c r="D89" s="26">
        <f>10221792/1000</f>
        <v>10221.791999999999</v>
      </c>
      <c r="E89" s="27">
        <f t="shared" si="2"/>
        <v>79.808000000000902</v>
      </c>
      <c r="F89" s="26">
        <f t="shared" si="3"/>
        <v>99.225285392560366</v>
      </c>
    </row>
    <row r="90" spans="1:6" ht="24" customHeight="1" x14ac:dyDescent="0.2">
      <c r="A90" s="15" t="s">
        <v>121</v>
      </c>
      <c r="B90" s="13" t="s">
        <v>219</v>
      </c>
      <c r="C90" s="26">
        <f>10301600/1000</f>
        <v>10301.6</v>
      </c>
      <c r="D90" s="26">
        <f>10221792/1000</f>
        <v>10221.791999999999</v>
      </c>
      <c r="E90" s="27">
        <f t="shared" ref="E90:E100" si="6">C90-D90</f>
        <v>79.808000000000902</v>
      </c>
      <c r="F90" s="26">
        <f t="shared" ref="F90:F100" si="7">(D90*100)/C90</f>
        <v>99.225285392560366</v>
      </c>
    </row>
    <row r="91" spans="1:6" ht="51.6" customHeight="1" x14ac:dyDescent="0.2">
      <c r="A91" s="15" t="s">
        <v>126</v>
      </c>
      <c r="B91" s="13" t="s">
        <v>220</v>
      </c>
      <c r="C91" s="26">
        <f>4985400/1000</f>
        <v>4985.3999999999996</v>
      </c>
      <c r="D91" s="26">
        <f>4897277.53/1000</f>
        <v>4897.2775300000003</v>
      </c>
      <c r="E91" s="27">
        <f t="shared" si="6"/>
        <v>88.122469999999339</v>
      </c>
      <c r="F91" s="26">
        <f t="shared" si="7"/>
        <v>98.232389176395088</v>
      </c>
    </row>
    <row r="92" spans="1:6" ht="24" customHeight="1" x14ac:dyDescent="0.2">
      <c r="A92" s="15" t="s">
        <v>121</v>
      </c>
      <c r="B92" s="13" t="s">
        <v>221</v>
      </c>
      <c r="C92" s="26">
        <f>4985400/1000</f>
        <v>4985.3999999999996</v>
      </c>
      <c r="D92" s="26">
        <f>4897277.53/1000</f>
        <v>4897.2775300000003</v>
      </c>
      <c r="E92" s="27">
        <f t="shared" si="6"/>
        <v>88.122469999999339</v>
      </c>
      <c r="F92" s="26">
        <f t="shared" si="7"/>
        <v>98.232389176395088</v>
      </c>
    </row>
    <row r="93" spans="1:6" ht="14.85" customHeight="1" x14ac:dyDescent="0.2">
      <c r="A93" s="15" t="s">
        <v>127</v>
      </c>
      <c r="B93" s="13" t="s">
        <v>222</v>
      </c>
      <c r="C93" s="26">
        <v>509.4</v>
      </c>
      <c r="D93" s="26">
        <f>509174.73/1000</f>
        <v>509.17472999999995</v>
      </c>
      <c r="E93" s="27">
        <f t="shared" si="6"/>
        <v>0.22527000000002317</v>
      </c>
      <c r="F93" s="26">
        <f t="shared" si="7"/>
        <v>99.95577738515901</v>
      </c>
    </row>
    <row r="94" spans="1:6" ht="14.85" customHeight="1" x14ac:dyDescent="0.2">
      <c r="A94" s="15" t="s">
        <v>128</v>
      </c>
      <c r="B94" s="13" t="s">
        <v>223</v>
      </c>
      <c r="C94" s="26">
        <v>509.4</v>
      </c>
      <c r="D94" s="26">
        <f>509174.73/1000</f>
        <v>509.17472999999995</v>
      </c>
      <c r="E94" s="27">
        <f t="shared" si="6"/>
        <v>0.22527000000002317</v>
      </c>
      <c r="F94" s="26">
        <f t="shared" si="7"/>
        <v>99.95577738515901</v>
      </c>
    </row>
    <row r="95" spans="1:6" ht="79.5" customHeight="1" x14ac:dyDescent="0.2">
      <c r="A95" s="15" t="s">
        <v>129</v>
      </c>
      <c r="B95" s="13" t="s">
        <v>224</v>
      </c>
      <c r="C95" s="26">
        <v>509.4</v>
      </c>
      <c r="D95" s="26">
        <f>509174.73/1000</f>
        <v>509.17472999999995</v>
      </c>
      <c r="E95" s="27">
        <f t="shared" si="6"/>
        <v>0.22527000000002317</v>
      </c>
      <c r="F95" s="26">
        <f t="shared" si="7"/>
        <v>99.95577738515901</v>
      </c>
    </row>
    <row r="96" spans="1:6" ht="33.200000000000003" customHeight="1" x14ac:dyDescent="0.2">
      <c r="A96" s="15" t="s">
        <v>84</v>
      </c>
      <c r="B96" s="13" t="s">
        <v>225</v>
      </c>
      <c r="C96" s="26">
        <v>509.4</v>
      </c>
      <c r="D96" s="26">
        <f>509174.73/1000</f>
        <v>509.17472999999995</v>
      </c>
      <c r="E96" s="27">
        <f t="shared" si="6"/>
        <v>0.22527000000002317</v>
      </c>
      <c r="F96" s="26">
        <f t="shared" si="7"/>
        <v>99.95577738515901</v>
      </c>
    </row>
    <row r="97" spans="1:6" ht="14.85" customHeight="1" x14ac:dyDescent="0.2">
      <c r="A97" s="15" t="s">
        <v>130</v>
      </c>
      <c r="B97" s="13" t="s">
        <v>226</v>
      </c>
      <c r="C97" s="26">
        <f>1139000/1000</f>
        <v>1139</v>
      </c>
      <c r="D97" s="26">
        <v>1139</v>
      </c>
      <c r="E97" s="27">
        <f t="shared" si="6"/>
        <v>0</v>
      </c>
      <c r="F97" s="26">
        <f t="shared" si="7"/>
        <v>100</v>
      </c>
    </row>
    <row r="98" spans="1:6" ht="14.85" customHeight="1" x14ac:dyDescent="0.2">
      <c r="A98" s="15" t="s">
        <v>131</v>
      </c>
      <c r="B98" s="13" t="s">
        <v>227</v>
      </c>
      <c r="C98" s="26">
        <f>1139000/1000</f>
        <v>1139</v>
      </c>
      <c r="D98" s="26">
        <v>1139</v>
      </c>
      <c r="E98" s="27">
        <f t="shared" si="6"/>
        <v>0</v>
      </c>
      <c r="F98" s="26">
        <f t="shared" si="7"/>
        <v>100</v>
      </c>
    </row>
    <row r="99" spans="1:6" ht="90" customHeight="1" x14ac:dyDescent="0.2">
      <c r="A99" s="15" t="s">
        <v>133</v>
      </c>
      <c r="B99" s="13" t="s">
        <v>228</v>
      </c>
      <c r="C99" s="26">
        <f>1139000/1000</f>
        <v>1139</v>
      </c>
      <c r="D99" s="26">
        <v>1139</v>
      </c>
      <c r="E99" s="27">
        <f t="shared" si="6"/>
        <v>0</v>
      </c>
      <c r="F99" s="26">
        <f t="shared" si="7"/>
        <v>100</v>
      </c>
    </row>
    <row r="100" spans="1:6" ht="33" customHeight="1" x14ac:dyDescent="0.2">
      <c r="A100" s="16" t="s">
        <v>84</v>
      </c>
      <c r="B100" s="17" t="s">
        <v>229</v>
      </c>
      <c r="C100" s="28">
        <f>1139000/1000</f>
        <v>1139</v>
      </c>
      <c r="D100" s="28">
        <v>1139</v>
      </c>
      <c r="E100" s="27">
        <f t="shared" si="6"/>
        <v>0</v>
      </c>
      <c r="F100" s="26">
        <f t="shared" si="7"/>
        <v>100</v>
      </c>
    </row>
    <row r="101" spans="1:6" x14ac:dyDescent="0.2">
      <c r="A101" s="64" t="s">
        <v>232</v>
      </c>
      <c r="B101" s="64"/>
      <c r="C101" s="29">
        <f>C24+C7</f>
        <v>114743.79999999999</v>
      </c>
      <c r="D101" s="29">
        <f>D24+D7</f>
        <v>113582.53318999999</v>
      </c>
      <c r="E101" s="29">
        <f>C101-D101</f>
        <v>1161.266810000001</v>
      </c>
      <c r="F101" s="29">
        <f>(D101*100)/C101</f>
        <v>98.987948098285045</v>
      </c>
    </row>
  </sheetData>
  <mergeCells count="4">
    <mergeCell ref="A3:F3"/>
    <mergeCell ref="A2:F2"/>
    <mergeCell ref="C1:F1"/>
    <mergeCell ref="A101:B10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1"/>
  <sheetViews>
    <sheetView view="pageBreakPreview" zoomScaleNormal="100" zoomScaleSheetLayoutView="100" workbookViewId="0">
      <selection activeCell="C1" sqref="C1:F1"/>
    </sheetView>
  </sheetViews>
  <sheetFormatPr defaultRowHeight="12.75" x14ac:dyDescent="0.2"/>
  <cols>
    <col min="1" max="1" width="51.1640625" style="19" customWidth="1"/>
    <col min="2" max="2" width="30.1640625" style="19" customWidth="1"/>
    <col min="3" max="3" width="18.1640625" style="19" customWidth="1"/>
    <col min="4" max="4" width="18.6640625" style="19" customWidth="1"/>
    <col min="5" max="5" width="18.1640625" style="19" customWidth="1"/>
    <col min="6" max="6" width="17.33203125" style="19" customWidth="1"/>
    <col min="7" max="16384" width="9.33203125" style="19"/>
  </cols>
  <sheetData>
    <row r="1" spans="1:6" ht="91.5" customHeight="1" x14ac:dyDescent="0.2">
      <c r="C1" s="63" t="s">
        <v>290</v>
      </c>
      <c r="D1" s="63"/>
      <c r="E1" s="63"/>
      <c r="F1" s="63"/>
    </row>
    <row r="2" spans="1:6" ht="74.25" customHeight="1" x14ac:dyDescent="0.2">
      <c r="A2" s="61" t="s">
        <v>286</v>
      </c>
      <c r="B2" s="62"/>
      <c r="C2" s="62"/>
      <c r="D2" s="62"/>
      <c r="E2" s="62"/>
      <c r="F2" s="62"/>
    </row>
    <row r="3" spans="1:6" ht="30" customHeight="1" x14ac:dyDescent="0.2">
      <c r="A3" s="59" t="s">
        <v>233</v>
      </c>
      <c r="B3" s="60"/>
      <c r="C3" s="60"/>
      <c r="D3" s="60"/>
      <c r="E3" s="60"/>
      <c r="F3" s="60"/>
    </row>
    <row r="4" spans="1:6" ht="69" customHeight="1" x14ac:dyDescent="0.2">
      <c r="A4" s="9" t="s">
        <v>72</v>
      </c>
      <c r="B4" s="10" t="s">
        <v>234</v>
      </c>
      <c r="C4" s="10" t="s">
        <v>59</v>
      </c>
      <c r="D4" s="11" t="s">
        <v>60</v>
      </c>
      <c r="E4" s="11" t="s">
        <v>61</v>
      </c>
      <c r="F4" s="11" t="s">
        <v>56</v>
      </c>
    </row>
    <row r="5" spans="1:6" ht="14.85" customHeight="1" x14ac:dyDescent="0.2">
      <c r="A5" s="20">
        <v>1</v>
      </c>
      <c r="B5" s="21">
        <v>2</v>
      </c>
      <c r="C5" s="20">
        <v>3</v>
      </c>
      <c r="D5" s="20">
        <v>4</v>
      </c>
      <c r="E5" s="22">
        <v>5</v>
      </c>
      <c r="F5" s="23">
        <v>6</v>
      </c>
    </row>
    <row r="6" spans="1:6" ht="14.85" customHeight="1" x14ac:dyDescent="0.2">
      <c r="A6" s="15" t="s">
        <v>76</v>
      </c>
      <c r="B6" s="13" t="s">
        <v>235</v>
      </c>
      <c r="C6" s="26">
        <f>C7+C8+C9+C10+C11</f>
        <v>36989.5</v>
      </c>
      <c r="D6" s="26">
        <f>D7+D8+D9+D10+D11</f>
        <v>36085.836370000005</v>
      </c>
      <c r="E6" s="26">
        <f>C6-D6</f>
        <v>903.66362999999546</v>
      </c>
      <c r="F6" s="26">
        <f>(D6*100)/C6</f>
        <v>97.556972573297841</v>
      </c>
    </row>
    <row r="7" spans="1:6" ht="43.5" customHeight="1" x14ac:dyDescent="0.2">
      <c r="A7" s="15" t="s">
        <v>77</v>
      </c>
      <c r="B7" s="13" t="s">
        <v>236</v>
      </c>
      <c r="C7" s="26">
        <f>1772400/1000</f>
        <v>1772.4</v>
      </c>
      <c r="D7" s="26">
        <f>1772037.18/1000</f>
        <v>1772.03718</v>
      </c>
      <c r="E7" s="26">
        <f t="shared" ref="E7:E8" si="0">C7-D7</f>
        <v>0.3628200000000561</v>
      </c>
      <c r="F7" s="26">
        <f t="shared" ref="F7:F8" si="1">(D7*100)/C7</f>
        <v>99.979529451591048</v>
      </c>
    </row>
    <row r="8" spans="1:6" ht="42.6" customHeight="1" x14ac:dyDescent="0.2">
      <c r="A8" s="15" t="s">
        <v>80</v>
      </c>
      <c r="B8" s="13" t="s">
        <v>237</v>
      </c>
      <c r="C8" s="26">
        <f>8791900/1000</f>
        <v>8791.9</v>
      </c>
      <c r="D8" s="26">
        <f>8629379.49/1000</f>
        <v>8629.3794899999994</v>
      </c>
      <c r="E8" s="26">
        <f t="shared" si="0"/>
        <v>162.52051000000029</v>
      </c>
      <c r="F8" s="26">
        <f t="shared" si="1"/>
        <v>98.151474539064353</v>
      </c>
    </row>
    <row r="9" spans="1:6" ht="51.6" customHeight="1" x14ac:dyDescent="0.2">
      <c r="A9" s="15" t="s">
        <v>86</v>
      </c>
      <c r="B9" s="13" t="s">
        <v>238</v>
      </c>
      <c r="C9" s="26">
        <f>25989400/1000</f>
        <v>25989.4</v>
      </c>
      <c r="D9" s="26">
        <f>25448619.7/1000</f>
        <v>25448.619699999999</v>
      </c>
      <c r="E9" s="27">
        <f>C9-D9</f>
        <v>540.78030000000217</v>
      </c>
      <c r="F9" s="26">
        <f>(D9*100)/C9</f>
        <v>97.919227454269802</v>
      </c>
    </row>
    <row r="10" spans="1:6" ht="14.85" customHeight="1" x14ac:dyDescent="0.2">
      <c r="A10" s="15" t="s">
        <v>90</v>
      </c>
      <c r="B10" s="13" t="s">
        <v>239</v>
      </c>
      <c r="C10" s="26">
        <f>200000/1000</f>
        <v>200</v>
      </c>
      <c r="D10" s="26">
        <v>0</v>
      </c>
      <c r="E10" s="27">
        <f t="shared" ref="E10:E26" si="2">C10-D10</f>
        <v>200</v>
      </c>
      <c r="F10" s="26">
        <f t="shared" ref="F10:F26" si="3">(D10*100)/C10</f>
        <v>0</v>
      </c>
    </row>
    <row r="11" spans="1:6" ht="14.85" customHeight="1" x14ac:dyDescent="0.2">
      <c r="A11" s="15" t="s">
        <v>92</v>
      </c>
      <c r="B11" s="13" t="s">
        <v>240</v>
      </c>
      <c r="C11" s="26">
        <f>128+99+8.8</f>
        <v>235.8</v>
      </c>
      <c r="D11" s="26">
        <f>128+99+8.8</f>
        <v>235.8</v>
      </c>
      <c r="E11" s="27">
        <f t="shared" si="2"/>
        <v>0</v>
      </c>
      <c r="F11" s="26">
        <f t="shared" si="3"/>
        <v>100</v>
      </c>
    </row>
    <row r="12" spans="1:6" ht="28.5" customHeight="1" x14ac:dyDescent="0.2">
      <c r="A12" s="15" t="s">
        <v>96</v>
      </c>
      <c r="B12" s="13" t="s">
        <v>241</v>
      </c>
      <c r="C12" s="26">
        <f>60000/1000</f>
        <v>60</v>
      </c>
      <c r="D12" s="26">
        <f>60000/1000</f>
        <v>60</v>
      </c>
      <c r="E12" s="27">
        <f t="shared" si="2"/>
        <v>0</v>
      </c>
      <c r="F12" s="26">
        <f t="shared" si="3"/>
        <v>100</v>
      </c>
    </row>
    <row r="13" spans="1:6" ht="42" customHeight="1" x14ac:dyDescent="0.2">
      <c r="A13" s="15" t="s">
        <v>97</v>
      </c>
      <c r="B13" s="13" t="s">
        <v>242</v>
      </c>
      <c r="C13" s="26">
        <f>60000/1000</f>
        <v>60</v>
      </c>
      <c r="D13" s="26">
        <f>60000/1000</f>
        <v>60</v>
      </c>
      <c r="E13" s="27">
        <f t="shared" si="2"/>
        <v>0</v>
      </c>
      <c r="F13" s="26">
        <f t="shared" si="3"/>
        <v>100</v>
      </c>
    </row>
    <row r="14" spans="1:6" ht="14.85" customHeight="1" x14ac:dyDescent="0.2">
      <c r="A14" s="15" t="s">
        <v>99</v>
      </c>
      <c r="B14" s="13" t="s">
        <v>243</v>
      </c>
      <c r="C14" s="26">
        <f>311000/1000</f>
        <v>311</v>
      </c>
      <c r="D14" s="26">
        <f>310934.68/1000</f>
        <v>310.93468000000001</v>
      </c>
      <c r="E14" s="27">
        <f t="shared" si="2"/>
        <v>6.5319999999985612E-2</v>
      </c>
      <c r="F14" s="26">
        <f t="shared" si="3"/>
        <v>99.978996784565922</v>
      </c>
    </row>
    <row r="15" spans="1:6" ht="14.85" customHeight="1" x14ac:dyDescent="0.2">
      <c r="A15" s="15" t="s">
        <v>100</v>
      </c>
      <c r="B15" s="13" t="s">
        <v>244</v>
      </c>
      <c r="C15" s="26">
        <f>311000/1000</f>
        <v>311</v>
      </c>
      <c r="D15" s="26">
        <f>310934.68/1000</f>
        <v>310.93468000000001</v>
      </c>
      <c r="E15" s="27">
        <f t="shared" si="2"/>
        <v>6.5319999999985612E-2</v>
      </c>
      <c r="F15" s="26">
        <f t="shared" si="3"/>
        <v>99.978996784565922</v>
      </c>
    </row>
    <row r="16" spans="1:6" ht="14.85" customHeight="1" x14ac:dyDescent="0.2">
      <c r="A16" s="15" t="s">
        <v>102</v>
      </c>
      <c r="B16" s="13" t="s">
        <v>245</v>
      </c>
      <c r="C16" s="26">
        <f>46326000/1000</f>
        <v>46326</v>
      </c>
      <c r="D16" s="26">
        <f>46285515.94/1000</f>
        <v>46285.515939999997</v>
      </c>
      <c r="E16" s="27">
        <f t="shared" si="2"/>
        <v>40.484060000002501</v>
      </c>
      <c r="F16" s="26">
        <f t="shared" si="3"/>
        <v>99.912610499503515</v>
      </c>
    </row>
    <row r="17" spans="1:6" ht="14.85" customHeight="1" x14ac:dyDescent="0.2">
      <c r="A17" s="15" t="s">
        <v>103</v>
      </c>
      <c r="B17" s="13" t="s">
        <v>246</v>
      </c>
      <c r="C17" s="26">
        <f>46326000/1000</f>
        <v>46326</v>
      </c>
      <c r="D17" s="26">
        <f>46285515.94/1000</f>
        <v>46285.515939999997</v>
      </c>
      <c r="E17" s="27">
        <f t="shared" si="2"/>
        <v>40.484060000002501</v>
      </c>
      <c r="F17" s="26">
        <f t="shared" si="3"/>
        <v>99.912610499503515</v>
      </c>
    </row>
    <row r="18" spans="1:6" ht="14.85" customHeight="1" x14ac:dyDescent="0.2">
      <c r="A18" s="15" t="s">
        <v>107</v>
      </c>
      <c r="B18" s="13" t="s">
        <v>247</v>
      </c>
      <c r="C18" s="26">
        <f>999500/1000</f>
        <v>999.5</v>
      </c>
      <c r="D18" s="26">
        <f>978500/1000</f>
        <v>978.5</v>
      </c>
      <c r="E18" s="27">
        <f t="shared" si="2"/>
        <v>21</v>
      </c>
      <c r="F18" s="26">
        <f t="shared" si="3"/>
        <v>97.898949474737364</v>
      </c>
    </row>
    <row r="19" spans="1:6" ht="32.25" customHeight="1" x14ac:dyDescent="0.2">
      <c r="A19" s="15" t="s">
        <v>108</v>
      </c>
      <c r="B19" s="13" t="s">
        <v>248</v>
      </c>
      <c r="C19" s="26">
        <f>150000/1000</f>
        <v>150</v>
      </c>
      <c r="D19" s="26">
        <f>129000/1000</f>
        <v>129</v>
      </c>
      <c r="E19" s="27">
        <f t="shared" si="2"/>
        <v>21</v>
      </c>
      <c r="F19" s="26">
        <f t="shared" si="3"/>
        <v>86</v>
      </c>
    </row>
    <row r="20" spans="1:6" ht="14.85" customHeight="1" x14ac:dyDescent="0.2">
      <c r="A20" s="15" t="s">
        <v>109</v>
      </c>
      <c r="B20" s="13" t="s">
        <v>249</v>
      </c>
      <c r="C20" s="26">
        <f>849500/1000</f>
        <v>849.5</v>
      </c>
      <c r="D20" s="26">
        <f>849500/1000</f>
        <v>849.5</v>
      </c>
      <c r="E20" s="27">
        <f t="shared" si="2"/>
        <v>0</v>
      </c>
      <c r="F20" s="26">
        <f t="shared" si="3"/>
        <v>100</v>
      </c>
    </row>
    <row r="21" spans="1:6" ht="14.85" customHeight="1" x14ac:dyDescent="0.2">
      <c r="A21" s="15" t="s">
        <v>114</v>
      </c>
      <c r="B21" s="13" t="s">
        <v>250</v>
      </c>
      <c r="C21" s="26">
        <f>11572400/1000</f>
        <v>11572.4</v>
      </c>
      <c r="D21" s="26">
        <f>11564710.5/1000</f>
        <v>11564.710499999999</v>
      </c>
      <c r="E21" s="27">
        <f t="shared" si="2"/>
        <v>7.6895000000004075</v>
      </c>
      <c r="F21" s="26">
        <f t="shared" si="3"/>
        <v>99.933553109121689</v>
      </c>
    </row>
    <row r="22" spans="1:6" ht="14.85" customHeight="1" x14ac:dyDescent="0.2">
      <c r="A22" s="15" t="s">
        <v>115</v>
      </c>
      <c r="B22" s="13" t="s">
        <v>251</v>
      </c>
      <c r="C22" s="26">
        <f>11572400/1000</f>
        <v>11572.4</v>
      </c>
      <c r="D22" s="26">
        <f>11564710.5/1000</f>
        <v>11564.710499999999</v>
      </c>
      <c r="E22" s="27">
        <f t="shared" si="2"/>
        <v>7.6895000000004075</v>
      </c>
      <c r="F22" s="26">
        <f t="shared" si="3"/>
        <v>99.933553109121689</v>
      </c>
    </row>
    <row r="23" spans="1:6" ht="14.85" customHeight="1" x14ac:dyDescent="0.2">
      <c r="A23" s="15" t="s">
        <v>118</v>
      </c>
      <c r="B23" s="13" t="s">
        <v>252</v>
      </c>
      <c r="C23" s="26">
        <f>16837000/1000</f>
        <v>16837</v>
      </c>
      <c r="D23" s="26">
        <f>16648860.97/1000</f>
        <v>16648.860970000002</v>
      </c>
      <c r="E23" s="27">
        <f t="shared" si="2"/>
        <v>188.13902999999846</v>
      </c>
      <c r="F23" s="26">
        <f t="shared" si="3"/>
        <v>98.88258579319357</v>
      </c>
    </row>
    <row r="24" spans="1:6" ht="14.85" customHeight="1" x14ac:dyDescent="0.2">
      <c r="A24" s="15" t="s">
        <v>119</v>
      </c>
      <c r="B24" s="13" t="s">
        <v>253</v>
      </c>
      <c r="C24" s="26">
        <f>934000/1000</f>
        <v>934</v>
      </c>
      <c r="D24" s="26">
        <f>913901.76/1000</f>
        <v>913.90175999999997</v>
      </c>
      <c r="E24" s="27">
        <f t="shared" si="2"/>
        <v>20.098240000000033</v>
      </c>
      <c r="F24" s="26">
        <f t="shared" si="3"/>
        <v>97.84815417558886</v>
      </c>
    </row>
    <row r="25" spans="1:6" ht="14.85" customHeight="1" x14ac:dyDescent="0.2">
      <c r="A25" s="15" t="s">
        <v>122</v>
      </c>
      <c r="B25" s="13" t="s">
        <v>254</v>
      </c>
      <c r="C25" s="26">
        <v>616</v>
      </c>
      <c r="D25" s="26">
        <f>615889.68/1000</f>
        <v>615.88968</v>
      </c>
      <c r="E25" s="27">
        <f t="shared" si="2"/>
        <v>0.11032000000000153</v>
      </c>
      <c r="F25" s="26">
        <f t="shared" si="3"/>
        <v>99.982090909090914</v>
      </c>
    </row>
    <row r="26" spans="1:6" ht="14.85" customHeight="1" x14ac:dyDescent="0.2">
      <c r="A26" s="15" t="s">
        <v>124</v>
      </c>
      <c r="B26" s="13" t="s">
        <v>255</v>
      </c>
      <c r="C26" s="26">
        <f>15287000/1000</f>
        <v>15287</v>
      </c>
      <c r="D26" s="26">
        <f>15119069.53/1000</f>
        <v>15119.069529999999</v>
      </c>
      <c r="E26" s="27">
        <f t="shared" si="2"/>
        <v>167.93047000000115</v>
      </c>
      <c r="F26" s="26">
        <f t="shared" si="3"/>
        <v>98.90148184732125</v>
      </c>
    </row>
    <row r="27" spans="1:6" ht="14.85" customHeight="1" x14ac:dyDescent="0.2">
      <c r="A27" s="15" t="s">
        <v>127</v>
      </c>
      <c r="B27" s="13" t="s">
        <v>256</v>
      </c>
      <c r="C27" s="26">
        <v>509.4</v>
      </c>
      <c r="D27" s="26">
        <f>509174.73/1000</f>
        <v>509.17472999999995</v>
      </c>
      <c r="E27" s="27">
        <f t="shared" ref="E27:E30" si="4">C27-D27</f>
        <v>0.22527000000002317</v>
      </c>
      <c r="F27" s="26">
        <f t="shared" ref="F27:F30" si="5">(D27*100)/C27</f>
        <v>99.95577738515901</v>
      </c>
    </row>
    <row r="28" spans="1:6" ht="14.85" customHeight="1" x14ac:dyDescent="0.2">
      <c r="A28" s="15" t="s">
        <v>128</v>
      </c>
      <c r="B28" s="13" t="s">
        <v>257</v>
      </c>
      <c r="C28" s="26">
        <v>509.4</v>
      </c>
      <c r="D28" s="26">
        <f>509174.73/1000</f>
        <v>509.17472999999995</v>
      </c>
      <c r="E28" s="27">
        <f t="shared" si="4"/>
        <v>0.22527000000002317</v>
      </c>
      <c r="F28" s="26">
        <f t="shared" si="5"/>
        <v>99.95577738515901</v>
      </c>
    </row>
    <row r="29" spans="1:6" ht="14.85" customHeight="1" x14ac:dyDescent="0.2">
      <c r="A29" s="15" t="s">
        <v>130</v>
      </c>
      <c r="B29" s="13" t="s">
        <v>258</v>
      </c>
      <c r="C29" s="26">
        <f>1139000/1000</f>
        <v>1139</v>
      </c>
      <c r="D29" s="26">
        <v>1139</v>
      </c>
      <c r="E29" s="27">
        <f t="shared" si="4"/>
        <v>0</v>
      </c>
      <c r="F29" s="26">
        <f t="shared" si="5"/>
        <v>100</v>
      </c>
    </row>
    <row r="30" spans="1:6" ht="14.85" customHeight="1" x14ac:dyDescent="0.2">
      <c r="A30" s="15" t="s">
        <v>131</v>
      </c>
      <c r="B30" s="13" t="s">
        <v>259</v>
      </c>
      <c r="C30" s="26">
        <f>1139000/1000</f>
        <v>1139</v>
      </c>
      <c r="D30" s="26">
        <v>1139</v>
      </c>
      <c r="E30" s="27">
        <f t="shared" si="4"/>
        <v>0</v>
      </c>
      <c r="F30" s="26">
        <f t="shared" si="5"/>
        <v>100</v>
      </c>
    </row>
    <row r="31" spans="1:6" x14ac:dyDescent="0.2">
      <c r="A31" s="64" t="s">
        <v>232</v>
      </c>
      <c r="B31" s="64"/>
      <c r="C31" s="29">
        <f>C6+C12+C14+C16+C18+C21+C23+C27+C29</f>
        <v>114743.79999999999</v>
      </c>
      <c r="D31" s="29">
        <f>D6+D12+D14+D16+D18+D21+D23+D27+D29</f>
        <v>113582.53318999999</v>
      </c>
      <c r="E31" s="29">
        <f>C31-D31</f>
        <v>1161.266810000001</v>
      </c>
      <c r="F31" s="29">
        <f>(D31*100)/C31</f>
        <v>98.987948098285045</v>
      </c>
    </row>
  </sheetData>
  <mergeCells count="4">
    <mergeCell ref="C1:F1"/>
    <mergeCell ref="A2:F2"/>
    <mergeCell ref="A3:F3"/>
    <mergeCell ref="A31:B3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17"/>
  <sheetViews>
    <sheetView tabSelected="1" view="pageBreakPreview" zoomScaleNormal="100" zoomScaleSheetLayoutView="100" workbookViewId="0">
      <selection activeCell="C1" sqref="C1:E1"/>
    </sheetView>
  </sheetViews>
  <sheetFormatPr defaultRowHeight="12.75" x14ac:dyDescent="0.2"/>
  <cols>
    <col min="1" max="1" width="53" style="1" customWidth="1"/>
    <col min="2" max="2" width="31.33203125" style="1" customWidth="1"/>
    <col min="3" max="3" width="10.1640625" style="1" customWidth="1"/>
    <col min="4" max="4" width="22.33203125" style="1" customWidth="1"/>
    <col min="5" max="5" width="26.1640625" style="1" customWidth="1"/>
    <col min="6" max="16384" width="9.33203125" style="1"/>
  </cols>
  <sheetData>
    <row r="1" spans="1:5" ht="96" customHeight="1" x14ac:dyDescent="0.2">
      <c r="C1" s="77" t="s">
        <v>291</v>
      </c>
      <c r="D1" s="77"/>
      <c r="E1" s="77"/>
    </row>
    <row r="2" spans="1:5" ht="45.75" customHeight="1" x14ac:dyDescent="0.2">
      <c r="A2" s="61" t="s">
        <v>286</v>
      </c>
      <c r="B2" s="62"/>
      <c r="C2" s="62"/>
      <c r="D2" s="62"/>
      <c r="E2" s="62"/>
    </row>
    <row r="3" spans="1:5" ht="33.75" customHeight="1" x14ac:dyDescent="0.2">
      <c r="A3" s="59" t="s">
        <v>233</v>
      </c>
      <c r="B3" s="72"/>
      <c r="C3" s="72"/>
      <c r="D3" s="72"/>
      <c r="E3" s="72"/>
    </row>
    <row r="4" spans="1:5" ht="42.2" customHeight="1" x14ac:dyDescent="0.2">
      <c r="A4" s="10" t="s">
        <v>273</v>
      </c>
      <c r="B4" s="73" t="s">
        <v>274</v>
      </c>
      <c r="C4" s="74"/>
      <c r="D4" s="10" t="s">
        <v>275</v>
      </c>
      <c r="E4" s="10" t="s">
        <v>276</v>
      </c>
    </row>
    <row r="5" spans="1:5" ht="14.85" customHeight="1" x14ac:dyDescent="0.2">
      <c r="A5" s="30">
        <v>1</v>
      </c>
      <c r="B5" s="75">
        <v>2</v>
      </c>
      <c r="C5" s="76"/>
      <c r="D5" s="30">
        <v>3</v>
      </c>
      <c r="E5" s="30">
        <v>4</v>
      </c>
    </row>
    <row r="6" spans="1:5" ht="24" customHeight="1" x14ac:dyDescent="0.2">
      <c r="A6" s="15" t="s">
        <v>279</v>
      </c>
      <c r="B6" s="65" t="s">
        <v>75</v>
      </c>
      <c r="C6" s="66"/>
      <c r="D6" s="14">
        <f>-2729800/1000</f>
        <v>-2729.8</v>
      </c>
      <c r="E6" s="14">
        <f>E11+E15</f>
        <v>-4272.2599999999948</v>
      </c>
    </row>
    <row r="7" spans="1:5" ht="27" customHeight="1" x14ac:dyDescent="0.2">
      <c r="A7" s="15" t="s">
        <v>280</v>
      </c>
      <c r="B7" s="65" t="s">
        <v>277</v>
      </c>
      <c r="C7" s="66"/>
      <c r="D7" s="14">
        <f>-2729800/1000</f>
        <v>-2729.8</v>
      </c>
      <c r="E7" s="14">
        <f>E12+E16</f>
        <v>-4272.2599999999948</v>
      </c>
    </row>
    <row r="8" spans="1:5" ht="24" customHeight="1" x14ac:dyDescent="0.2">
      <c r="A8" s="15" t="s">
        <v>281</v>
      </c>
      <c r="B8" s="65" t="s">
        <v>278</v>
      </c>
      <c r="C8" s="66"/>
      <c r="D8" s="14">
        <f>-2729800/1000</f>
        <v>-2729.8</v>
      </c>
      <c r="E8" s="14">
        <v>-4272.26</v>
      </c>
    </row>
    <row r="9" spans="1:5" ht="14.85" customHeight="1" x14ac:dyDescent="0.2">
      <c r="A9" s="15" t="s">
        <v>260</v>
      </c>
      <c r="B9" s="65" t="s">
        <v>261</v>
      </c>
      <c r="C9" s="66"/>
      <c r="D9" s="14">
        <f>-117473600/1000</f>
        <v>-117473.60000000001</v>
      </c>
      <c r="E9" s="14">
        <v>-117854.79</v>
      </c>
    </row>
    <row r="10" spans="1:5" ht="24" customHeight="1" x14ac:dyDescent="0.2">
      <c r="A10" s="15" t="s">
        <v>282</v>
      </c>
      <c r="B10" s="65" t="s">
        <v>262</v>
      </c>
      <c r="C10" s="66"/>
      <c r="D10" s="14">
        <f>-117473600/1000</f>
        <v>-117473.60000000001</v>
      </c>
      <c r="E10" s="14">
        <v>-117854.79</v>
      </c>
    </row>
    <row r="11" spans="1:5" ht="24" customHeight="1" x14ac:dyDescent="0.2">
      <c r="A11" s="15" t="s">
        <v>263</v>
      </c>
      <c r="B11" s="65" t="s">
        <v>264</v>
      </c>
      <c r="C11" s="66"/>
      <c r="D11" s="14">
        <f>-117473600/1000</f>
        <v>-117473.60000000001</v>
      </c>
      <c r="E11" s="14">
        <v>-117854.79</v>
      </c>
    </row>
    <row r="12" spans="1:5" ht="42.2" customHeight="1" x14ac:dyDescent="0.2">
      <c r="A12" s="15" t="s">
        <v>283</v>
      </c>
      <c r="B12" s="65" t="s">
        <v>265</v>
      </c>
      <c r="C12" s="66"/>
      <c r="D12" s="14">
        <f>-117473600/1000</f>
        <v>-117473.60000000001</v>
      </c>
      <c r="E12" s="14">
        <v>-117854.79</v>
      </c>
    </row>
    <row r="13" spans="1:5" ht="14.85" customHeight="1" x14ac:dyDescent="0.2">
      <c r="A13" s="15" t="s">
        <v>266</v>
      </c>
      <c r="B13" s="65" t="s">
        <v>267</v>
      </c>
      <c r="C13" s="66"/>
      <c r="D13" s="14">
        <f>114743800/1000</f>
        <v>114743.8</v>
      </c>
      <c r="E13" s="14">
        <v>113582.53</v>
      </c>
    </row>
    <row r="14" spans="1:5" ht="24" customHeight="1" x14ac:dyDescent="0.2">
      <c r="A14" s="15" t="s">
        <v>268</v>
      </c>
      <c r="B14" s="65" t="s">
        <v>269</v>
      </c>
      <c r="C14" s="66"/>
      <c r="D14" s="14">
        <f>114743800/1000</f>
        <v>114743.8</v>
      </c>
      <c r="E14" s="14">
        <v>113582.53</v>
      </c>
    </row>
    <row r="15" spans="1:5" ht="24" customHeight="1" x14ac:dyDescent="0.2">
      <c r="A15" s="15" t="s">
        <v>270</v>
      </c>
      <c r="B15" s="65" t="s">
        <v>271</v>
      </c>
      <c r="C15" s="66"/>
      <c r="D15" s="14">
        <f>114743800/1000</f>
        <v>114743.8</v>
      </c>
      <c r="E15" s="14">
        <v>113582.53</v>
      </c>
    </row>
    <row r="16" spans="1:5" ht="48.75" customHeight="1" x14ac:dyDescent="0.2">
      <c r="A16" s="16" t="s">
        <v>284</v>
      </c>
      <c r="B16" s="70" t="s">
        <v>272</v>
      </c>
      <c r="C16" s="71"/>
      <c r="D16" s="18">
        <f>114743800/1000</f>
        <v>114743.8</v>
      </c>
      <c r="E16" s="18">
        <v>113582.53</v>
      </c>
    </row>
    <row r="17" spans="1:5" x14ac:dyDescent="0.2">
      <c r="A17" s="67"/>
      <c r="B17" s="68"/>
      <c r="C17" s="69"/>
      <c r="D17" s="31">
        <f>D6</f>
        <v>-2729.8</v>
      </c>
      <c r="E17" s="31">
        <f>E6</f>
        <v>-4272.2599999999948</v>
      </c>
    </row>
  </sheetData>
  <mergeCells count="17">
    <mergeCell ref="A3:E3"/>
    <mergeCell ref="B4:C4"/>
    <mergeCell ref="B5:C5"/>
    <mergeCell ref="A2:E2"/>
    <mergeCell ref="C1:E1"/>
    <mergeCell ref="A17:C17"/>
    <mergeCell ref="B14:C14"/>
    <mergeCell ref="B15:C15"/>
    <mergeCell ref="B16:C16"/>
    <mergeCell ref="B13:C13"/>
    <mergeCell ref="B7:C7"/>
    <mergeCell ref="B6:C6"/>
    <mergeCell ref="B11:C11"/>
    <mergeCell ref="B12:C12"/>
    <mergeCell ref="B8:C8"/>
    <mergeCell ref="B9:C9"/>
    <mergeCell ref="B10:C10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 1 к Проекту Реш МС</vt:lpstr>
      <vt:lpstr>ПР 2 к Проекту Реш МС</vt:lpstr>
      <vt:lpstr>ПР 3 к Проекту Реш МС</vt:lpstr>
      <vt:lpstr>ПР 4 к Проекту Реш МС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Naran</dc:creator>
  <cp:lastModifiedBy>svetlana</cp:lastModifiedBy>
  <cp:lastPrinted>2024-06-17T06:58:04Z</cp:lastPrinted>
  <dcterms:created xsi:type="dcterms:W3CDTF">2024-03-26T15:58:43Z</dcterms:created>
  <dcterms:modified xsi:type="dcterms:W3CDTF">2024-06-17T06:58:31Z</dcterms:modified>
</cp:coreProperties>
</file>